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<sst xmlns="http://schemas.openxmlformats.org/spreadsheetml/2006/main" count="633" uniqueCount="458">
  <si>
    <t>Stavební rozpočet</t>
  </si>
  <si>
    <t>Název stavby:</t>
  </si>
  <si>
    <t>Planá - Fučíkova ul., rozšíření parkoviště</t>
  </si>
  <si>
    <t>Doba výstavby:</t>
  </si>
  <si>
    <t>148 dní</t>
  </si>
  <si>
    <t>Objednatel:</t>
  </si>
  <si>
    <t>Město Planá</t>
  </si>
  <si>
    <t>Druh stavby a účel:</t>
  </si>
  <si>
    <t>parkoviště</t>
  </si>
  <si>
    <t>Začátek výstavby:</t>
  </si>
  <si>
    <t>Projektant:</t>
  </si>
  <si>
    <t>ing. Moses</t>
  </si>
  <si>
    <t>Lokalita:</t>
  </si>
  <si>
    <t>Planá</t>
  </si>
  <si>
    <t>Konec výstavby:</t>
  </si>
  <si>
    <t>Zhotovitel:</t>
  </si>
  <si>
    <t>JKSO:</t>
  </si>
  <si>
    <t>Zpracováno dne:</t>
  </si>
  <si>
    <t>Zpracoval: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</si>
  <si>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</si>
  <si>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</si>
  <si>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</si>
  <si>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</si>
  <si>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</si>
  <si>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</si>
  <si>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</si>
  <si>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</si>
  <si>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</si>
  <si>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</si>
  <si>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</si>
  <si>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</si>
  <si>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</si>
  <si>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</si>
  <si>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0</t>
  </si>
  <si>
    <t>Všeobecné konstrukce a práce</t>
  </si>
  <si>
    <t>1</t>
  </si>
  <si>
    <t>035978111R00</t>
  </si>
  <si>
    <t>Odvoz suti a hmot na skladku do 1km (živice-AZS Stříbro)</t>
  </si>
  <si>
    <t>t</t>
  </si>
  <si>
    <t>2</t>
  </si>
  <si>
    <t>Odvoz suti na skladku do 1km (ostatní-AZS Stříbro) pol10+12+13</t>
  </si>
  <si>
    <t>3</t>
  </si>
  <si>
    <t>035978121R00</t>
  </si>
  <si>
    <t>Odvoz suti a hmot na skladku zkd 1km (živice-Holostřevy), 10x</t>
  </si>
  <si>
    <t>4</t>
  </si>
  <si>
    <t>Odvoz suti a hmot na skladku zkd 1km (ostatní-AZS Stříbro), 7x</t>
  </si>
  <si>
    <t>11</t>
  </si>
  <si>
    <t>Přípravné a přidružené práce</t>
  </si>
  <si>
    <t>5</t>
  </si>
  <si>
    <t>111251111R00</t>
  </si>
  <si>
    <t>Drcení křovin a ořezaných větví průměru do 10 cm</t>
  </si>
  <si>
    <t>m3</t>
  </si>
  <si>
    <t>6</t>
  </si>
  <si>
    <t>112107111R00</t>
  </si>
  <si>
    <t>Kácení stromů D do 30 cm</t>
  </si>
  <si>
    <t>kus</t>
  </si>
  <si>
    <t>7</t>
  </si>
  <si>
    <t>112207111R00</t>
  </si>
  <si>
    <t>Odstraneni parezu d 30cm</t>
  </si>
  <si>
    <t>8</t>
  </si>
  <si>
    <t>112211111R00</t>
  </si>
  <si>
    <t>Štěpkování pařezů na hromadách o D do 50 cm</t>
  </si>
  <si>
    <t>9</t>
  </si>
  <si>
    <t>113106121R00</t>
  </si>
  <si>
    <t>Rozebrání dlažeb z betonových dlaždic na sucho</t>
  </si>
  <si>
    <t>m2</t>
  </si>
  <si>
    <t>10</t>
  </si>
  <si>
    <t>113107142R00</t>
  </si>
  <si>
    <t>Odstranění podkladu pl.do 200 m2, živice tl. 10 cm</t>
  </si>
  <si>
    <t>113107232R00</t>
  </si>
  <si>
    <t>Odstranění podkladu nad 200 m2, beton, tl.do 30 cm</t>
  </si>
  <si>
    <t>12</t>
  </si>
  <si>
    <t>113202111R00</t>
  </si>
  <si>
    <t>Vytrhání obrub z krajníků nebo obrubníků stojatých</t>
  </si>
  <si>
    <t>m</t>
  </si>
  <si>
    <t>13</t>
  </si>
  <si>
    <t>113204111R00</t>
  </si>
  <si>
    <t>Vytrhání obrub záhonových</t>
  </si>
  <si>
    <t>14</t>
  </si>
  <si>
    <t>119001421R00</t>
  </si>
  <si>
    <t>Dočasné zajištění kabelů - do počtu 3 kabelů</t>
  </si>
  <si>
    <t>Odkopávky a prokopávky</t>
  </si>
  <si>
    <t>15</t>
  </si>
  <si>
    <t>120001101R00</t>
  </si>
  <si>
    <t>Příplatek za ztížení vykopávky v blízkosti vedení -odhad</t>
  </si>
  <si>
    <t>16</t>
  </si>
  <si>
    <t>121101103R00</t>
  </si>
  <si>
    <t>Sejmutí ornice s přemístěním přes 100 do 250 m</t>
  </si>
  <si>
    <t>17</t>
  </si>
  <si>
    <t>122202202R00</t>
  </si>
  <si>
    <t>Odkopávky pro silnice v hor. 3 do 1000 m3</t>
  </si>
  <si>
    <t>18</t>
  </si>
  <si>
    <t>122202209R00</t>
  </si>
  <si>
    <t>Příplatek za lepivost - odkop. pro silnice v hor.3</t>
  </si>
  <si>
    <t>19</t>
  </si>
  <si>
    <t>122302202R00</t>
  </si>
  <si>
    <t>Odkopávky pro silnice v hor. 4 do 1000 m3</t>
  </si>
  <si>
    <t>20</t>
  </si>
  <si>
    <t>122302209R00</t>
  </si>
  <si>
    <t>Příplatek za lepivost - odkop pro silnice v hor. 4</t>
  </si>
  <si>
    <t>Hloubené vykopávky</t>
  </si>
  <si>
    <t>21</t>
  </si>
  <si>
    <t>132201202R00</t>
  </si>
  <si>
    <t>Hloubení rýh šířky do 200 cm v hor.3 do 1000 m3</t>
  </si>
  <si>
    <t>22</t>
  </si>
  <si>
    <t>132201209R00</t>
  </si>
  <si>
    <t>Příplatek za lepivost - hloubení rýh 200cm v hor.3</t>
  </si>
  <si>
    <t>23</t>
  </si>
  <si>
    <t>132301202R00</t>
  </si>
  <si>
    <t>Hloubení rýh šířky do 200 cm v hor.4 do 1000 m3</t>
  </si>
  <si>
    <t>24</t>
  </si>
  <si>
    <t>132301209R00</t>
  </si>
  <si>
    <t>Příplatek za lepivost - hloubení rýh 200cm v hor.4</t>
  </si>
  <si>
    <t>Roubení</t>
  </si>
  <si>
    <t>25</t>
  </si>
  <si>
    <t>151101101R00</t>
  </si>
  <si>
    <t>Pažení a rozepření stěn rýh - příložné - hl. do 2m</t>
  </si>
  <si>
    <t>26</t>
  </si>
  <si>
    <t>151101111R00</t>
  </si>
  <si>
    <t>Odstranění paženi stěn rýh - příložné - hl. do 2 m</t>
  </si>
  <si>
    <t>Přemístění výkopku</t>
  </si>
  <si>
    <t>27</t>
  </si>
  <si>
    <t>162201401R00</t>
  </si>
  <si>
    <t>Vod.přemístění větví listnatých, D 30 cm do 1000 m</t>
  </si>
  <si>
    <t>28</t>
  </si>
  <si>
    <t>162201411R00</t>
  </si>
  <si>
    <t>Vod.přemístění kmenů listnatých, D 30 cm do 1000 m</t>
  </si>
  <si>
    <t>29</t>
  </si>
  <si>
    <t>162201421R00</t>
  </si>
  <si>
    <t>Vodorovné přemístění pařezů  D 30 cm do 1000 m</t>
  </si>
  <si>
    <t>30</t>
  </si>
  <si>
    <t>162207112R00</t>
  </si>
  <si>
    <t>Vodorovné přem, výk. hor. 1-4 do 100 m (pro úpravu násypů)</t>
  </si>
  <si>
    <t>31</t>
  </si>
  <si>
    <t>162701101R00</t>
  </si>
  <si>
    <t>Vodorovné přemístění výkopku z hor.1-4 do 6000 m</t>
  </si>
  <si>
    <t>32</t>
  </si>
  <si>
    <t>162706111R00</t>
  </si>
  <si>
    <t>Vodorovné přemístění zemin pro zúr. do 6000 m (přebytek ornice)</t>
  </si>
  <si>
    <t>Konstrukce ze zemin</t>
  </si>
  <si>
    <t>33</t>
  </si>
  <si>
    <t>171102103R00</t>
  </si>
  <si>
    <t>Uložení sypaniny do násypů, zhutn, na 100% PS</t>
  </si>
  <si>
    <t>34</t>
  </si>
  <si>
    <t>171201101R00</t>
  </si>
  <si>
    <t>Uložení sypaniny do násypů nezhutněných</t>
  </si>
  <si>
    <t>35</t>
  </si>
  <si>
    <t>174101101R00</t>
  </si>
  <si>
    <t>Zásyp jam, rýh, šachet se zhutněním</t>
  </si>
  <si>
    <t>36</t>
  </si>
  <si>
    <t>175101101R00</t>
  </si>
  <si>
    <t>Obsyp potrubí bez prohození sypaniny</t>
  </si>
  <si>
    <t>37</t>
  </si>
  <si>
    <t>175101109R00</t>
  </si>
  <si>
    <t>Příplatek za prohození sypaniny pro obsyp potrubí</t>
  </si>
  <si>
    <t>38</t>
  </si>
  <si>
    <t>175101201R00</t>
  </si>
  <si>
    <t>Obsyp objektu bez prohození sypaniny</t>
  </si>
  <si>
    <t>Povrchové úpravy terénu</t>
  </si>
  <si>
    <t>39</t>
  </si>
  <si>
    <t>180401211R00</t>
  </si>
  <si>
    <t>Založení trávníku lučního výsevem v rovině</t>
  </si>
  <si>
    <t>40</t>
  </si>
  <si>
    <t>181101102R00</t>
  </si>
  <si>
    <t>Úprava pláně v zářezech v hor. 1-4, se zhutněním</t>
  </si>
  <si>
    <t>41</t>
  </si>
  <si>
    <t>181201102R00</t>
  </si>
  <si>
    <t>Úprava pláně v násypech v hor. 1-4, se zhutněním</t>
  </si>
  <si>
    <t>42</t>
  </si>
  <si>
    <t>181303111R00</t>
  </si>
  <si>
    <t>Rozprostr ornice 1:5 tl 10cm</t>
  </si>
  <si>
    <t>43</t>
  </si>
  <si>
    <t>182001111R00</t>
  </si>
  <si>
    <t>Plošná úprava terénu, nerovnosti do 10 cm v rovině</t>
  </si>
  <si>
    <t>44</t>
  </si>
  <si>
    <t>183103313R00</t>
  </si>
  <si>
    <t>Kopání jamek D 50 cm, hl. 60 cm, nezabuř.zem. 3</t>
  </si>
  <si>
    <t>45</t>
  </si>
  <si>
    <t>184004413R00</t>
  </si>
  <si>
    <t>Výsadba sazenic stromů do 3 m, jamka D 50/hl.60 cm</t>
  </si>
  <si>
    <t>46</t>
  </si>
  <si>
    <t>184804112R00</t>
  </si>
  <si>
    <t>Ochrana dřevin před okusem z drát.pletiva v rovině</t>
  </si>
  <si>
    <t>47</t>
  </si>
  <si>
    <t>184807911R00</t>
  </si>
  <si>
    <t>Kůl délky 2 m, průměru 4 - 6 cm</t>
  </si>
  <si>
    <t>Úprava podloží a základové spáry</t>
  </si>
  <si>
    <t>48</t>
  </si>
  <si>
    <t>212792112R00</t>
  </si>
  <si>
    <t>Montáž trativodů z flexibilních trubek, lože a obsyp kam. (rýha kanalizace)</t>
  </si>
  <si>
    <t>Různé kompletní konstrukce (nedělitelné do stavebních dílů)</t>
  </si>
  <si>
    <t>49</t>
  </si>
  <si>
    <t>388317777R00</t>
  </si>
  <si>
    <t>Těleso trub. kabelovodu z bet. B 12,5 výkop (obetonování)</t>
  </si>
  <si>
    <t>50</t>
  </si>
  <si>
    <t>388994111R00</t>
  </si>
  <si>
    <t>Trubky tělesa kabelovodu z PVC 110/4,2 mm + výkop</t>
  </si>
  <si>
    <t>51</t>
  </si>
  <si>
    <t>388995111R00</t>
  </si>
  <si>
    <t>Osazení tělesa chráničky z bet. prefab., ve výkopu, včet.podsypu</t>
  </si>
  <si>
    <t>Podkladní a vedlejší konstrukce (inženýr. stavby kromě vozovek a železnič. svršku)</t>
  </si>
  <si>
    <t>52</t>
  </si>
  <si>
    <t>451561112R00</t>
  </si>
  <si>
    <t>Lože z kam. drobného drceného tl. do 15 cm (obruby)</t>
  </si>
  <si>
    <t>56</t>
  </si>
  <si>
    <t>Podkladní vrstvy komunikací, letišť a ploch</t>
  </si>
  <si>
    <t>53</t>
  </si>
  <si>
    <t>564761111R00</t>
  </si>
  <si>
    <t>Podklad z kam. drc. vel.16-32 mm,tl. 20 cm -chodník</t>
  </si>
  <si>
    <t>54</t>
  </si>
  <si>
    <t>Podklad z kam. drc. vel.32-63 mm,tl. 20 cm-kpl nové plochy pojížděné</t>
  </si>
  <si>
    <t>55</t>
  </si>
  <si>
    <t>Podklad z kameniva drceného vel.32-63 mm,tl. 20 cm -překop</t>
  </si>
  <si>
    <t>564801112R00</t>
  </si>
  <si>
    <t>Podklad z drti 4-8 po zhut. tl. 4 cm-zatrav. tvárnice</t>
  </si>
  <si>
    <t>57</t>
  </si>
  <si>
    <t>564811111R00</t>
  </si>
  <si>
    <t>Podklad z drti 8-16 po zhut. tl. 5 cm -chodník</t>
  </si>
  <si>
    <t>58</t>
  </si>
  <si>
    <t>564841112R00</t>
  </si>
  <si>
    <t>Podklad ze štěrkodrti po zhut. tl. 13 cm -zatrav.tvárnice</t>
  </si>
  <si>
    <t>59</t>
  </si>
  <si>
    <t>564851113R00</t>
  </si>
  <si>
    <t>Podklad ze štěrkodrti po zhut. tl. 17 cm -pod ABS</t>
  </si>
  <si>
    <t>60</t>
  </si>
  <si>
    <t>564861111R00</t>
  </si>
  <si>
    <t>Podklad ze štěrkodrti po zhutnění tloušťky 20 cm -překop</t>
  </si>
  <si>
    <t>61</t>
  </si>
  <si>
    <t>565141121RT3</t>
  </si>
  <si>
    <t>Podklad kamen. obal. asfaltem tř.2 do 3 m, tl.6 cm-překop</t>
  </si>
  <si>
    <t>62</t>
  </si>
  <si>
    <t>565141221RT2</t>
  </si>
  <si>
    <t>Podklad kamen. obal. asfaltem tř.2 nad 3 m,tl.6 cm</t>
  </si>
  <si>
    <t>Kryty štěrkových a živičných komunikací a ploch</t>
  </si>
  <si>
    <t>63</t>
  </si>
  <si>
    <t>577131211RT3</t>
  </si>
  <si>
    <t>Beton asfalt. ABJ,ABS,ABH tř.2 do 3 m, tl. 4 cm-překop</t>
  </si>
  <si>
    <t>64</t>
  </si>
  <si>
    <t>577132211RT2</t>
  </si>
  <si>
    <t>Beton asfalt. ABJ,ABS,ABH tř.2 nad 3 m, tl. 4 cm</t>
  </si>
  <si>
    <t>Dlažby pozemních komunikací a ploch</t>
  </si>
  <si>
    <t>65</t>
  </si>
  <si>
    <t>596215020R00</t>
  </si>
  <si>
    <t>Kladení zámkové dlažby tl. 6 cm do drtě tl. 3 cm včet.kameniva</t>
  </si>
  <si>
    <t>66</t>
  </si>
  <si>
    <t>596811111RV3</t>
  </si>
  <si>
    <t>Kladení dlaždic kom., lože z kam. drc.včet.bet.zatrav. tvárnic</t>
  </si>
  <si>
    <t>87</t>
  </si>
  <si>
    <t>Potrubí z trub z plastických hmot, skleněných a čedičových</t>
  </si>
  <si>
    <t>67</t>
  </si>
  <si>
    <t>871313121RT2</t>
  </si>
  <si>
    <t>Montáž trub z tvrdého PVC, gum kr, DN 150, včet.trub</t>
  </si>
  <si>
    <t>68</t>
  </si>
  <si>
    <t>871353121RT2</t>
  </si>
  <si>
    <t>Montáž trub z tvrdého PVC, gum kr, DN 200, včet. trub</t>
  </si>
  <si>
    <t>89</t>
  </si>
  <si>
    <t>Ostatní konstrukce</t>
  </si>
  <si>
    <t>69</t>
  </si>
  <si>
    <t>892571111R00</t>
  </si>
  <si>
    <t>Zkouška těsnosti kanalizace DN do 200, vodou</t>
  </si>
  <si>
    <t>70</t>
  </si>
  <si>
    <t>892573111R00</t>
  </si>
  <si>
    <t>Zabezpečení konců kanal. potrubí DN do 200, vodou</t>
  </si>
  <si>
    <t>sada</t>
  </si>
  <si>
    <t>71</t>
  </si>
  <si>
    <t>894421111RT1</t>
  </si>
  <si>
    <t>Osazení bet. dílců šachet dle DIN 4034 -skruže rovné do 0,5t</t>
  </si>
  <si>
    <t>72</t>
  </si>
  <si>
    <t>894421112RT1</t>
  </si>
  <si>
    <t>Osazení bet. dílců šachet dle DIN 4034 -skruže rovné do 1,4t</t>
  </si>
  <si>
    <t>73</t>
  </si>
  <si>
    <t>894422111RT1</t>
  </si>
  <si>
    <t>Osazení bet. dílců šachet dle DIN 4034 -skruže přechodové</t>
  </si>
  <si>
    <t>74</t>
  </si>
  <si>
    <t>894423111RT1</t>
  </si>
  <si>
    <t>Osazení betonových dílců šachet dle DIN 4034-dno</t>
  </si>
  <si>
    <t>75</t>
  </si>
  <si>
    <t>895941311RT2</t>
  </si>
  <si>
    <t>Zřízení vpusti uliční z dílců typ UVB - 50 -včet.dodávky bet.dílců</t>
  </si>
  <si>
    <t>76</t>
  </si>
  <si>
    <t>899203111RT2</t>
  </si>
  <si>
    <t>Osazení mříží lit. s rámem a košem do 150 kg-včet. kpl dodávky</t>
  </si>
  <si>
    <t>77</t>
  </si>
  <si>
    <t>899311113R00</t>
  </si>
  <si>
    <t>Osazení poklopů litinových s rámem do 150 kg tř.B</t>
  </si>
  <si>
    <t>78</t>
  </si>
  <si>
    <t>79</t>
  </si>
  <si>
    <t>899431111R00</t>
  </si>
  <si>
    <t>Výšková úprava do 20 cm, zvýšení krytu šoupěte</t>
  </si>
  <si>
    <t>80</t>
  </si>
  <si>
    <t>899623141R00</t>
  </si>
  <si>
    <t>Obetonování potrubí nebo chráničky betonem B 15</t>
  </si>
  <si>
    <t>90</t>
  </si>
  <si>
    <t>Hodinové zúčtovací sazby (HZS)</t>
  </si>
  <si>
    <t>81</t>
  </si>
  <si>
    <t>900      RT2</t>
  </si>
  <si>
    <t>Hzs - nezmeřitelné práce   čl.17-1a</t>
  </si>
  <si>
    <t>hod</t>
  </si>
  <si>
    <t>91</t>
  </si>
  <si>
    <t>Doplňující konstrukce a práce pozemních komunikací, letišť a ploch</t>
  </si>
  <si>
    <t>82</t>
  </si>
  <si>
    <t>914001111R00</t>
  </si>
  <si>
    <t>Montáž svislých dopr.značek na sloupky, konzoly</t>
  </si>
  <si>
    <t>83</t>
  </si>
  <si>
    <t>915711111R00</t>
  </si>
  <si>
    <t>Vytýčení a zaměření stavby</t>
  </si>
  <si>
    <t>84</t>
  </si>
  <si>
    <t>Vodorovné značení střík.barvou dělících čar 12 cm</t>
  </si>
  <si>
    <t>85</t>
  </si>
  <si>
    <t>915791111R00</t>
  </si>
  <si>
    <t>Předznačení pro značení dělící čáry,vodící proužky</t>
  </si>
  <si>
    <t>86</t>
  </si>
  <si>
    <t>Vytýčení podzemního vedení</t>
  </si>
  <si>
    <t>Přechodné značení pro stavbu (DIO)</t>
  </si>
  <si>
    <t>88</t>
  </si>
  <si>
    <t>916231111RT1</t>
  </si>
  <si>
    <t>Osazení obruby z kostek drob., bez op. lože B15, včet. dod. (TBX)</t>
  </si>
  <si>
    <t>917862111RT5</t>
  </si>
  <si>
    <t>Osazení stojat. obrub. bet. parkového, lože z B 15, vč.dodávky</t>
  </si>
  <si>
    <t>917862111RT7</t>
  </si>
  <si>
    <t>Osazení stojat. obrub. bet. s opěrou,lože z B 15 včet.dodávky</t>
  </si>
  <si>
    <t>918101111R00</t>
  </si>
  <si>
    <t>Lože pod obrubníky nebo obruby dlažeb z B 15</t>
  </si>
  <si>
    <t>92</t>
  </si>
  <si>
    <t>919731122R00</t>
  </si>
  <si>
    <t>Zarovnání styčné plochy živičné, zálivka s posypem</t>
  </si>
  <si>
    <t>93</t>
  </si>
  <si>
    <t>919735111R00</t>
  </si>
  <si>
    <t>Řezání stávajícího živičného krytu tl. do 5 cm</t>
  </si>
  <si>
    <t>Různé dokončovací konstrukce a práce inženýrských staveb</t>
  </si>
  <si>
    <t>94</t>
  </si>
  <si>
    <t>933903069R00</t>
  </si>
  <si>
    <t>Zatěžovací zkoušky statické</t>
  </si>
  <si>
    <t>95</t>
  </si>
  <si>
    <t>935112111R00</t>
  </si>
  <si>
    <t>Osazení přík.žlabku do B15 z tvárnic BEST II</t>
  </si>
  <si>
    <t>96</t>
  </si>
  <si>
    <t>Bourání konstrukcí</t>
  </si>
  <si>
    <t>966006131R00</t>
  </si>
  <si>
    <t>Odstranění doprav. značek se sloupky, uklínovanými</t>
  </si>
  <si>
    <t>97</t>
  </si>
  <si>
    <t>966077111R00</t>
  </si>
  <si>
    <t>Odstranění doplňkových konstrukcí ocelových do 20 kg</t>
  </si>
  <si>
    <t>98</t>
  </si>
  <si>
    <t>Demolice</t>
  </si>
  <si>
    <t>981511113R00</t>
  </si>
  <si>
    <t>Demolice konstruk. postup.rozebráním, beton prostý (šachty)</t>
  </si>
  <si>
    <t>H22</t>
  </si>
  <si>
    <t>Komunikace pozemní a letiště</t>
  </si>
  <si>
    <t>99</t>
  </si>
  <si>
    <t>998223011R00</t>
  </si>
  <si>
    <t>Přesun hmot, pozemní komunikace, kryt dlážděný</t>
  </si>
  <si>
    <t>M21</t>
  </si>
  <si>
    <t>Elektromontáže</t>
  </si>
  <si>
    <t>100</t>
  </si>
  <si>
    <t>210100010RAB</t>
  </si>
  <si>
    <t>Přípojka elektro v zemi pro VO, kabel CYKY 4x16 -kpl</t>
  </si>
  <si>
    <t>101</t>
  </si>
  <si>
    <t>210500020RAB</t>
  </si>
  <si>
    <t>Venkovní osvětlení stožár uliční - přemístěni</t>
  </si>
  <si>
    <t>S0</t>
  </si>
  <si>
    <t>Přesuny sutí</t>
  </si>
  <si>
    <t>102</t>
  </si>
  <si>
    <t>979999998R00</t>
  </si>
  <si>
    <t>Poplatek za skládku suti</t>
  </si>
  <si>
    <t>Ostatní materiál</t>
  </si>
  <si>
    <t>103</t>
  </si>
  <si>
    <t>00572472</t>
  </si>
  <si>
    <t>Směs travní luční III.</t>
  </si>
  <si>
    <t>kg</t>
  </si>
  <si>
    <t>104</t>
  </si>
  <si>
    <t>28314140.A</t>
  </si>
  <si>
    <t>Fólie výstražná š. 330 x 1,2 mm modrá 3,3 m/kg</t>
  </si>
  <si>
    <t>105</t>
  </si>
  <si>
    <t>40445050.A</t>
  </si>
  <si>
    <t>Značka dopr inf IP 11a-1x, IP12-2x, 500/700 fól1, EG7letá</t>
  </si>
  <si>
    <t>106</t>
  </si>
  <si>
    <t>40445960</t>
  </si>
  <si>
    <t>Sloupek Fe 60/3 s povrchovou úpravou zinkováním</t>
  </si>
  <si>
    <t>107</t>
  </si>
  <si>
    <t>40445962.A</t>
  </si>
  <si>
    <t>Dopravní příslušenství, patka AL 4 ks kot šroubů, příchytka DZ</t>
  </si>
  <si>
    <t>108</t>
  </si>
  <si>
    <t>55243444</t>
  </si>
  <si>
    <t>Poklop kruhový 600 B 125</t>
  </si>
  <si>
    <t>109</t>
  </si>
  <si>
    <t>59212029</t>
  </si>
  <si>
    <t>Žlab kabelový KZ 3  500x200x220 mm</t>
  </si>
  <si>
    <t>110</t>
  </si>
  <si>
    <t>59212030</t>
  </si>
  <si>
    <t>Deska krycí KD 3  500x210x55 mm</t>
  </si>
  <si>
    <t>111</t>
  </si>
  <si>
    <t>59224174.A</t>
  </si>
  <si>
    <t>Prstenec vyrovnávcí TBW-Q 625/40/120</t>
  </si>
  <si>
    <t>112</t>
  </si>
  <si>
    <t>59224175</t>
  </si>
  <si>
    <t>Prstenec vyrovnávcí TBW-Q 625/60/120</t>
  </si>
  <si>
    <t>113</t>
  </si>
  <si>
    <t>59224176</t>
  </si>
  <si>
    <t>Prstenec vyrovnávcí TBW-Q 625/80/120</t>
  </si>
  <si>
    <t>114</t>
  </si>
  <si>
    <t>59224366.A</t>
  </si>
  <si>
    <t>Dno šachetní přímé TBZ-Q.1 100/60 V max. 40</t>
  </si>
  <si>
    <t>115</t>
  </si>
  <si>
    <t>59224373.A</t>
  </si>
  <si>
    <t>Těsnění elastom pro šach díly EMT 100/1.7 - DN1000</t>
  </si>
  <si>
    <t>116</t>
  </si>
  <si>
    <t>59224382</t>
  </si>
  <si>
    <t>Skruž šachtová  TBS - Q 1000x500 SP</t>
  </si>
  <si>
    <t>117</t>
  </si>
  <si>
    <t>59224383</t>
  </si>
  <si>
    <t>Skruž šachtová  TBS - Q 1000x250 SP</t>
  </si>
  <si>
    <t>118</t>
  </si>
  <si>
    <t>59224385</t>
  </si>
  <si>
    <t>Skruž přechodová  TBR - Q 1000x625/600 KSP</t>
  </si>
  <si>
    <t>119</t>
  </si>
  <si>
    <t>59245295</t>
  </si>
  <si>
    <t>Dlažba zámková přírodní  tl.6</t>
  </si>
  <si>
    <t>Celkem: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</si>
  <si>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</si>
  <si>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</si>
  <si>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</si>
  <si>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</si>
  <si>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</si>
  <si>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</si>
  <si>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</si>
  <si>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</si>
  <si>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</si>
  <si>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</si>
  <si>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</si>
  <si>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</si>
  <si>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</si>
  <si>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</si>
  <si>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</si>
  <si>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</si>
  <si>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</si>
  <si>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</si>
  <si>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</si>
  <si>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</si>
  <si>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</si>
  <si>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</si>
  <si>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</si>
  <si>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</si>
  <si>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</si>
  <si>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</si>
  <si>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</si>
  <si>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</si>
  <si>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Základ 0%</t>
  </si>
  <si>
    <t>Základ 10%</t>
  </si>
  <si>
    <t>DPH 10%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</si>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</sst>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2" fillId="2" borderId="12" xfId="0" applyNumberFormat="1" applyFont="1" applyFill="1" applyBorder="1" applyAlignment="1" applyProtection="1">
      <alignment horizontal="left" vertical="center"/>
      <protection/>
    </xf>
    <xf numFmtId="49" fontId="3" fillId="2" borderId="12" xfId="0" applyNumberFormat="1" applyFont="1" applyFill="1" applyBorder="1" applyAlignment="1" applyProtection="1">
      <alignment horizontal="left"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2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6" fillId="2" borderId="15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8" fillId="2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14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4" fontId="2" fillId="0" borderId="29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9" fontId="8" fillId="2" borderId="3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workbookViewId="0" topLeftCell="A1">
      <selection activeCell="A1" sqref="A1:L1"/>
    </sheetView>
  </sheetViews>
  <sheetFormatPr defaultColWidth="9.140625" defaultRowHeight="12.75"/>
  <cols>
    <col min="1" max="2" width="3.7109375" style="1" customWidth="1"/>
    <col min="3" max="3" width="13.28125" style="1" customWidth="1"/>
    <col min="4" max="4" width="34.140625" style="1" customWidth="1"/>
    <col min="5" max="5" width="4.28125" style="1" customWidth="1"/>
    <col min="6" max="6" width="10.8515625" style="1" customWidth="1"/>
    <col min="7" max="7" width="12.00390625" style="1" customWidth="1"/>
    <col min="8" max="9" width="13.140625" style="1" customWidth="1"/>
    <col min="10" max="10" width="13.28125" style="1" customWidth="1"/>
    <col min="11" max="12" width="11.7109375" style="1" customWidth="1"/>
    <col min="13" max="16384" width="11.421875" style="0" customWidth="1"/>
  </cols>
  <sheetData>
    <row r="1" spans="1:12" ht="21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12.75">
      <c r="A2" s="41" t="s">
        <v>1</v>
      </c>
      <c r="B2" s="41"/>
      <c r="C2" s="41"/>
      <c r="D2" s="42" t="s">
        <v>2</v>
      </c>
      <c r="E2" s="43" t="s">
        <v>3</v>
      </c>
      <c r="F2" s="43"/>
      <c r="G2" s="43" t="s">
        <v>4</v>
      </c>
      <c r="H2" s="43"/>
      <c r="I2" s="43" t="s">
        <v>5</v>
      </c>
      <c r="J2" s="44" t="s">
        <v>6</v>
      </c>
      <c r="K2" s="44"/>
      <c r="L2" s="44"/>
      <c r="M2" s="2"/>
    </row>
    <row r="3" spans="1:13" ht="12.75">
      <c r="A3" s="41"/>
      <c r="B3" s="41"/>
      <c r="C3" s="41"/>
      <c r="D3" s="42"/>
      <c r="E3" s="43"/>
      <c r="F3" s="43"/>
      <c r="G3" s="43"/>
      <c r="H3" s="43"/>
      <c r="I3" s="43"/>
      <c r="J3" s="43"/>
      <c r="K3" s="44"/>
      <c r="L3" s="44"/>
      <c r="M3" s="2"/>
    </row>
    <row r="4" spans="1:13" ht="12.75">
      <c r="A4" s="45" t="s">
        <v>7</v>
      </c>
      <c r="B4" s="45"/>
      <c r="C4" s="45"/>
      <c r="D4" s="46" t="s">
        <v>8</v>
      </c>
      <c r="E4" s="46" t="s">
        <v>9</v>
      </c>
      <c r="F4" s="46"/>
      <c r="G4" s="47">
        <v>40638</v>
      </c>
      <c r="H4" s="47"/>
      <c r="I4" s="46" t="s">
        <v>10</v>
      </c>
      <c r="J4" s="48" t="s">
        <v>11</v>
      </c>
      <c r="K4" s="48"/>
      <c r="L4" s="48"/>
      <c r="M4" s="2"/>
    </row>
    <row r="5" spans="1:13" ht="12.75">
      <c r="A5" s="45"/>
      <c r="B5" s="45"/>
      <c r="C5" s="45"/>
      <c r="D5" s="46"/>
      <c r="E5" s="46"/>
      <c r="F5" s="46"/>
      <c r="G5" s="47"/>
      <c r="H5" s="47"/>
      <c r="I5" s="46"/>
      <c r="J5" s="46"/>
      <c r="K5" s="48"/>
      <c r="L5" s="48"/>
      <c r="M5" s="2"/>
    </row>
    <row r="6" spans="1:13" ht="12.75">
      <c r="A6" s="45" t="s">
        <v>12</v>
      </c>
      <c r="B6" s="45"/>
      <c r="C6" s="45"/>
      <c r="D6" s="46" t="s">
        <v>13</v>
      </c>
      <c r="E6" s="46" t="s">
        <v>14</v>
      </c>
      <c r="F6" s="46"/>
      <c r="G6" s="47">
        <v>40785</v>
      </c>
      <c r="H6" s="47"/>
      <c r="I6" s="46" t="s">
        <v>15</v>
      </c>
      <c r="J6" s="48"/>
      <c r="K6" s="48"/>
      <c r="L6" s="48"/>
      <c r="M6" s="2"/>
    </row>
    <row r="7" spans="1:13" ht="12.75">
      <c r="A7" s="45"/>
      <c r="B7" s="45"/>
      <c r="C7" s="45"/>
      <c r="D7" s="46"/>
      <c r="E7" s="46"/>
      <c r="F7" s="46"/>
      <c r="G7" s="47"/>
      <c r="H7" s="47"/>
      <c r="I7" s="46"/>
      <c r="J7" s="46"/>
      <c r="K7" s="48"/>
      <c r="L7" s="48"/>
      <c r="M7" s="2"/>
    </row>
    <row r="8" spans="1:13" ht="12.75">
      <c r="A8" s="49" t="s">
        <v>16</v>
      </c>
      <c r="B8" s="49"/>
      <c r="C8" s="49"/>
      <c r="D8" s="50"/>
      <c r="E8" s="50" t="s">
        <v>17</v>
      </c>
      <c r="F8" s="50"/>
      <c r="G8" s="51">
        <v>40505</v>
      </c>
      <c r="H8" s="51"/>
      <c r="I8" s="50" t="s">
        <v>18</v>
      </c>
      <c r="J8" s="52" t="s">
        <v>11</v>
      </c>
      <c r="K8" s="52"/>
      <c r="L8" s="52"/>
      <c r="M8" s="2"/>
    </row>
    <row r="9" spans="1:13" ht="12.75">
      <c r="A9" s="49"/>
      <c r="B9" s="49"/>
      <c r="C9" s="49"/>
      <c r="D9" s="50"/>
      <c r="E9" s="50"/>
      <c r="F9" s="50"/>
      <c r="G9" s="51"/>
      <c r="H9" s="51"/>
      <c r="I9" s="50"/>
      <c r="J9" s="50"/>
      <c r="K9" s="52"/>
      <c r="L9" s="52"/>
      <c r="M9" s="2"/>
    </row>
    <row r="10" spans="1:13" ht="12.75">
      <c r="A10" s="4" t="s">
        <v>19</v>
      </c>
      <c r="B10" s="5" t="s">
        <v>19</v>
      </c>
      <c r="C10" s="5" t="s">
        <v>19</v>
      </c>
      <c r="D10" s="5" t="s">
        <v>19</v>
      </c>
      <c r="E10" s="5" t="s">
        <v>19</v>
      </c>
      <c r="F10" s="5" t="s">
        <v>19</v>
      </c>
      <c r="G10" s="6" t="s">
        <v>20</v>
      </c>
      <c r="H10" s="53" t="s">
        <v>21</v>
      </c>
      <c r="I10" s="53"/>
      <c r="J10" s="53"/>
      <c r="K10" s="53" t="s">
        <v>22</v>
      </c>
      <c r="L10" s="53"/>
      <c r="M10" s="7"/>
    </row>
    <row r="11" spans="1:13" ht="12.75">
      <c r="A11" s="8" t="s">
        <v>23</v>
      </c>
      <c r="B11" s="9" t="s">
        <v>24</v>
      </c>
      <c r="C11" s="9" t="s">
        <v>25</v>
      </c>
      <c r="D11" s="9" t="s">
        <v>26</v>
      </c>
      <c r="E11" s="9" t="s">
        <v>27</v>
      </c>
      <c r="F11" s="10" t="s">
        <v>28</v>
      </c>
      <c r="G11" s="11" t="s">
        <v>29</v>
      </c>
      <c r="H11" s="12" t="s">
        <v>30</v>
      </c>
      <c r="I11" s="13" t="s">
        <v>31</v>
      </c>
      <c r="J11" s="14" t="s">
        <v>32</v>
      </c>
      <c r="K11" s="12" t="s">
        <v>20</v>
      </c>
      <c r="L11" s="14" t="s">
        <v>32</v>
      </c>
      <c r="M11" s="7"/>
    </row>
    <row r="12" spans="1:12" ht="12.75">
      <c r="A12" s="15"/>
      <c r="B12" s="15"/>
      <c r="C12" s="16" t="s">
        <v>33</v>
      </c>
      <c r="D12" s="54" t="s">
        <v>34</v>
      </c>
      <c r="E12" s="54"/>
      <c r="F12" s="54"/>
      <c r="G12" s="54"/>
      <c r="H12" s="17">
        <f>SUM(H13:H16)</f>
        <v>0</v>
      </c>
      <c r="I12" s="17">
        <f>SUM(I13:I16)</f>
        <v>0</v>
      </c>
      <c r="J12" s="17">
        <f aca="true" t="shared" si="0" ref="J12:J43">H12+I12</f>
        <v>0</v>
      </c>
      <c r="K12" s="18"/>
      <c r="L12" s="17">
        <f>SUM(L13:L16)</f>
        <v>0</v>
      </c>
    </row>
    <row r="13" spans="1:12" ht="12.75">
      <c r="A13" s="3" t="s">
        <v>35</v>
      </c>
      <c r="B13" s="3"/>
      <c r="C13" s="3" t="s">
        <v>36</v>
      </c>
      <c r="D13" s="3" t="s">
        <v>37</v>
      </c>
      <c r="E13" s="3" t="s">
        <v>38</v>
      </c>
      <c r="F13" s="19">
        <v>7.33</v>
      </c>
      <c r="H13" s="19">
        <f>F13*G13*0</f>
        <v>0</v>
      </c>
      <c r="I13" s="19">
        <f>F13*G13*(1-0)</f>
        <v>0</v>
      </c>
      <c r="J13" s="19">
        <f t="shared" si="0"/>
        <v>0</v>
      </c>
      <c r="K13" s="19">
        <v>0</v>
      </c>
      <c r="L13" s="19">
        <f>F13*K13</f>
        <v>0</v>
      </c>
    </row>
    <row r="14" spans="1:12" ht="12.75">
      <c r="A14" s="3" t="s">
        <v>39</v>
      </c>
      <c r="B14" s="3"/>
      <c r="C14" s="3" t="s">
        <v>36</v>
      </c>
      <c r="D14" s="3" t="s">
        <v>40</v>
      </c>
      <c r="E14" s="3" t="s">
        <v>38</v>
      </c>
      <c r="F14" s="19">
        <v>155.72</v>
      </c>
      <c r="H14" s="19">
        <f>F14*G14*0</f>
        <v>0</v>
      </c>
      <c r="I14" s="19">
        <f>F14*G14*(1-0)</f>
        <v>0</v>
      </c>
      <c r="J14" s="19">
        <f t="shared" si="0"/>
        <v>0</v>
      </c>
      <c r="K14" s="19">
        <v>0</v>
      </c>
      <c r="L14" s="19">
        <f>F14*K14</f>
        <v>0</v>
      </c>
    </row>
    <row r="15" spans="1:12" ht="12.75">
      <c r="A15" s="3" t="s">
        <v>41</v>
      </c>
      <c r="B15" s="3"/>
      <c r="C15" s="3" t="s">
        <v>42</v>
      </c>
      <c r="D15" s="3" t="s">
        <v>43</v>
      </c>
      <c r="E15" s="3" t="s">
        <v>38</v>
      </c>
      <c r="F15" s="19">
        <v>175.92</v>
      </c>
      <c r="H15" s="19">
        <f>F15*G15*0</f>
        <v>0</v>
      </c>
      <c r="I15" s="19">
        <f>F15*G15*(1-0)</f>
        <v>0</v>
      </c>
      <c r="J15" s="19">
        <f t="shared" si="0"/>
        <v>0</v>
      </c>
      <c r="K15" s="19">
        <v>0</v>
      </c>
      <c r="L15" s="19">
        <f>F15*K15</f>
        <v>0</v>
      </c>
    </row>
    <row r="16" spans="1:12" ht="12.75">
      <c r="A16" s="3" t="s">
        <v>44</v>
      </c>
      <c r="B16" s="3"/>
      <c r="C16" s="3" t="s">
        <v>42</v>
      </c>
      <c r="D16" s="3" t="s">
        <v>45</v>
      </c>
      <c r="E16" s="3" t="s">
        <v>38</v>
      </c>
      <c r="F16" s="19">
        <v>3737.28</v>
      </c>
      <c r="H16" s="19">
        <f>F16*G16*0</f>
        <v>0</v>
      </c>
      <c r="I16" s="19">
        <f>F16*G16*(1-0)</f>
        <v>0</v>
      </c>
      <c r="J16" s="19">
        <f t="shared" si="0"/>
        <v>0</v>
      </c>
      <c r="K16" s="19">
        <v>0</v>
      </c>
      <c r="L16" s="19">
        <f>F16*K16</f>
        <v>0</v>
      </c>
    </row>
    <row r="17" spans="1:12" ht="12.75">
      <c r="A17" s="20"/>
      <c r="B17" s="20"/>
      <c r="C17" s="21" t="s">
        <v>46</v>
      </c>
      <c r="D17" s="55" t="s">
        <v>47</v>
      </c>
      <c r="E17" s="55"/>
      <c r="F17" s="55"/>
      <c r="G17" s="55"/>
      <c r="H17" s="22">
        <f>SUM(H18:H27)</f>
        <v>0</v>
      </c>
      <c r="I17" s="22">
        <f>SUM(I18:I27)</f>
        <v>0</v>
      </c>
      <c r="J17" s="22">
        <f t="shared" si="0"/>
        <v>0</v>
      </c>
      <c r="K17" s="23"/>
      <c r="L17" s="22">
        <f>SUM(L18:L27)</f>
        <v>167.49157000000002</v>
      </c>
    </row>
    <row r="18" spans="1:12" ht="12.75">
      <c r="A18" s="3" t="s">
        <v>48</v>
      </c>
      <c r="B18" s="3"/>
      <c r="C18" s="3" t="s">
        <v>49</v>
      </c>
      <c r="D18" s="3" t="s">
        <v>50</v>
      </c>
      <c r="E18" s="3" t="s">
        <v>51</v>
      </c>
      <c r="F18" s="19">
        <v>0.15</v>
      </c>
      <c r="H18" s="19">
        <f aca="true" t="shared" si="1" ref="H18:H26">F18*G18*0</f>
        <v>0</v>
      </c>
      <c r="I18" s="19">
        <f aca="true" t="shared" si="2" ref="I18:I26">F18*G18*(1-0)</f>
        <v>0</v>
      </c>
      <c r="J18" s="19">
        <f t="shared" si="0"/>
        <v>0</v>
      </c>
      <c r="K18" s="19">
        <v>0</v>
      </c>
      <c r="L18" s="19">
        <f aca="true" t="shared" si="3" ref="L18:L27">F18*K18</f>
        <v>0</v>
      </c>
    </row>
    <row r="19" spans="1:12" ht="12.75">
      <c r="A19" s="3" t="s">
        <v>52</v>
      </c>
      <c r="B19" s="3"/>
      <c r="C19" s="3" t="s">
        <v>53</v>
      </c>
      <c r="D19" s="3" t="s">
        <v>54</v>
      </c>
      <c r="E19" s="3" t="s">
        <v>55</v>
      </c>
      <c r="F19" s="19">
        <v>1</v>
      </c>
      <c r="H19" s="19">
        <f t="shared" si="1"/>
        <v>0</v>
      </c>
      <c r="I19" s="19">
        <f t="shared" si="2"/>
        <v>0</v>
      </c>
      <c r="J19" s="19">
        <f t="shared" si="0"/>
        <v>0</v>
      </c>
      <c r="K19" s="19">
        <v>0</v>
      </c>
      <c r="L19" s="19">
        <f t="shared" si="3"/>
        <v>0</v>
      </c>
    </row>
    <row r="20" spans="1:12" ht="12.75">
      <c r="A20" s="3" t="s">
        <v>56</v>
      </c>
      <c r="B20" s="3"/>
      <c r="C20" s="3" t="s">
        <v>57</v>
      </c>
      <c r="D20" s="3" t="s">
        <v>58</v>
      </c>
      <c r="E20" s="3" t="s">
        <v>55</v>
      </c>
      <c r="F20" s="19">
        <v>1</v>
      </c>
      <c r="H20" s="19">
        <f t="shared" si="1"/>
        <v>0</v>
      </c>
      <c r="I20" s="19">
        <f t="shared" si="2"/>
        <v>0</v>
      </c>
      <c r="J20" s="19">
        <f t="shared" si="0"/>
        <v>0</v>
      </c>
      <c r="K20" s="19">
        <v>0</v>
      </c>
      <c r="L20" s="19">
        <f t="shared" si="3"/>
        <v>0</v>
      </c>
    </row>
    <row r="21" spans="1:12" ht="12.75">
      <c r="A21" s="3" t="s">
        <v>59</v>
      </c>
      <c r="B21" s="3"/>
      <c r="C21" s="3" t="s">
        <v>60</v>
      </c>
      <c r="D21" s="3" t="s">
        <v>61</v>
      </c>
      <c r="E21" s="3" t="s">
        <v>55</v>
      </c>
      <c r="F21" s="19">
        <v>1</v>
      </c>
      <c r="H21" s="19">
        <f t="shared" si="1"/>
        <v>0</v>
      </c>
      <c r="I21" s="19">
        <f t="shared" si="2"/>
        <v>0</v>
      </c>
      <c r="J21" s="19">
        <f t="shared" si="0"/>
        <v>0</v>
      </c>
      <c r="K21" s="19">
        <v>0</v>
      </c>
      <c r="L21" s="19">
        <f t="shared" si="3"/>
        <v>0</v>
      </c>
    </row>
    <row r="22" spans="1:12" ht="12.75">
      <c r="A22" s="3" t="s">
        <v>62</v>
      </c>
      <c r="B22" s="3"/>
      <c r="C22" s="3" t="s">
        <v>63</v>
      </c>
      <c r="D22" s="3" t="s">
        <v>64</v>
      </c>
      <c r="E22" s="3" t="s">
        <v>65</v>
      </c>
      <c r="F22" s="19">
        <v>34</v>
      </c>
      <c r="H22" s="19">
        <f t="shared" si="1"/>
        <v>0</v>
      </c>
      <c r="I22" s="19">
        <f t="shared" si="2"/>
        <v>0</v>
      </c>
      <c r="J22" s="19">
        <f t="shared" si="0"/>
        <v>0</v>
      </c>
      <c r="K22" s="19">
        <v>0.138</v>
      </c>
      <c r="L22" s="19">
        <f t="shared" si="3"/>
        <v>4.692</v>
      </c>
    </row>
    <row r="23" spans="1:12" ht="12.75">
      <c r="A23" s="3" t="s">
        <v>66</v>
      </c>
      <c r="B23" s="3"/>
      <c r="C23" s="3" t="s">
        <v>67</v>
      </c>
      <c r="D23" s="3" t="s">
        <v>68</v>
      </c>
      <c r="E23" s="3" t="s">
        <v>65</v>
      </c>
      <c r="F23" s="19">
        <v>21.4</v>
      </c>
      <c r="H23" s="19">
        <f t="shared" si="1"/>
        <v>0</v>
      </c>
      <c r="I23" s="19">
        <f t="shared" si="2"/>
        <v>0</v>
      </c>
      <c r="J23" s="19">
        <f t="shared" si="0"/>
        <v>0</v>
      </c>
      <c r="K23" s="19">
        <v>0.181</v>
      </c>
      <c r="L23" s="19">
        <f t="shared" si="3"/>
        <v>3.8733999999999997</v>
      </c>
    </row>
    <row r="24" spans="1:12" ht="12.75">
      <c r="A24" s="3" t="s">
        <v>46</v>
      </c>
      <c r="B24" s="3"/>
      <c r="C24" s="3" t="s">
        <v>69</v>
      </c>
      <c r="D24" s="3" t="s">
        <v>70</v>
      </c>
      <c r="E24" s="3" t="s">
        <v>65</v>
      </c>
      <c r="F24" s="19">
        <v>300</v>
      </c>
      <c r="H24" s="19">
        <f t="shared" si="1"/>
        <v>0</v>
      </c>
      <c r="I24" s="19">
        <f t="shared" si="2"/>
        <v>0</v>
      </c>
      <c r="J24" s="19">
        <f t="shared" si="0"/>
        <v>0</v>
      </c>
      <c r="K24" s="19">
        <v>0.5</v>
      </c>
      <c r="L24" s="19">
        <f t="shared" si="3"/>
        <v>150</v>
      </c>
    </row>
    <row r="25" spans="1:12" ht="12.75">
      <c r="A25" s="3" t="s">
        <v>71</v>
      </c>
      <c r="B25" s="3"/>
      <c r="C25" s="3" t="s">
        <v>72</v>
      </c>
      <c r="D25" s="3" t="s">
        <v>73</v>
      </c>
      <c r="E25" s="3" t="s">
        <v>74</v>
      </c>
      <c r="F25" s="19">
        <v>27</v>
      </c>
      <c r="H25" s="19">
        <f t="shared" si="1"/>
        <v>0</v>
      </c>
      <c r="I25" s="19">
        <f t="shared" si="2"/>
        <v>0</v>
      </c>
      <c r="J25" s="19">
        <f t="shared" si="0"/>
        <v>0</v>
      </c>
      <c r="K25" s="19">
        <v>0.145</v>
      </c>
      <c r="L25" s="19">
        <f t="shared" si="3"/>
        <v>3.9149999999999996</v>
      </c>
    </row>
    <row r="26" spans="1:12" ht="12.75">
      <c r="A26" s="3" t="s">
        <v>75</v>
      </c>
      <c r="B26" s="3"/>
      <c r="C26" s="3" t="s">
        <v>76</v>
      </c>
      <c r="D26" s="3" t="s">
        <v>77</v>
      </c>
      <c r="E26" s="3" t="s">
        <v>74</v>
      </c>
      <c r="F26" s="19">
        <v>45</v>
      </c>
      <c r="H26" s="19">
        <f t="shared" si="1"/>
        <v>0</v>
      </c>
      <c r="I26" s="19">
        <f t="shared" si="2"/>
        <v>0</v>
      </c>
      <c r="J26" s="19">
        <f t="shared" si="0"/>
        <v>0</v>
      </c>
      <c r="K26" s="19">
        <v>0.04</v>
      </c>
      <c r="L26" s="19">
        <f t="shared" si="3"/>
        <v>1.8</v>
      </c>
    </row>
    <row r="27" spans="1:12" ht="12.75">
      <c r="A27" s="3" t="s">
        <v>78</v>
      </c>
      <c r="B27" s="3"/>
      <c r="C27" s="3" t="s">
        <v>79</v>
      </c>
      <c r="D27" s="3" t="s">
        <v>80</v>
      </c>
      <c r="E27" s="3" t="s">
        <v>74</v>
      </c>
      <c r="F27" s="19">
        <v>87</v>
      </c>
      <c r="H27" s="19">
        <f>F27*G27*0.396729042291677</f>
        <v>0</v>
      </c>
      <c r="I27" s="19">
        <f>F27*G27*(1-0.396729042291677)</f>
        <v>0</v>
      </c>
      <c r="J27" s="19">
        <f t="shared" si="0"/>
        <v>0</v>
      </c>
      <c r="K27" s="19">
        <v>0.03691</v>
      </c>
      <c r="L27" s="19">
        <f t="shared" si="3"/>
        <v>3.21117</v>
      </c>
    </row>
    <row r="28" spans="1:12" ht="12.75">
      <c r="A28" s="20"/>
      <c r="B28" s="20"/>
      <c r="C28" s="21" t="s">
        <v>71</v>
      </c>
      <c r="D28" s="55" t="s">
        <v>81</v>
      </c>
      <c r="E28" s="55"/>
      <c r="F28" s="55"/>
      <c r="G28" s="55"/>
      <c r="H28" s="22">
        <f>SUM(H29:H34)</f>
        <v>0</v>
      </c>
      <c r="I28" s="22">
        <f>SUM(I29:I34)</f>
        <v>0</v>
      </c>
      <c r="J28" s="22">
        <f t="shared" si="0"/>
        <v>0</v>
      </c>
      <c r="K28" s="23"/>
      <c r="L28" s="22">
        <f>SUM(L29:L34)</f>
        <v>0</v>
      </c>
    </row>
    <row r="29" spans="1:12" ht="12.75">
      <c r="A29" s="3" t="s">
        <v>82</v>
      </c>
      <c r="B29" s="3"/>
      <c r="C29" s="3" t="s">
        <v>83</v>
      </c>
      <c r="D29" s="3" t="s">
        <v>84</v>
      </c>
      <c r="E29" s="3" t="s">
        <v>51</v>
      </c>
      <c r="F29" s="19">
        <v>15</v>
      </c>
      <c r="H29" s="19">
        <f aca="true" t="shared" si="4" ref="H29:H34">F29*G29*0</f>
        <v>0</v>
      </c>
      <c r="I29" s="19">
        <f aca="true" t="shared" si="5" ref="I29:I34">F29*G29*(1-0)</f>
        <v>0</v>
      </c>
      <c r="J29" s="19">
        <f t="shared" si="0"/>
        <v>0</v>
      </c>
      <c r="K29" s="19">
        <v>0</v>
      </c>
      <c r="L29" s="19">
        <f aca="true" t="shared" si="6" ref="L29:L34">F29*K29</f>
        <v>0</v>
      </c>
    </row>
    <row r="30" spans="1:12" ht="12.75">
      <c r="A30" s="3" t="s">
        <v>85</v>
      </c>
      <c r="B30" s="3"/>
      <c r="C30" s="3" t="s">
        <v>86</v>
      </c>
      <c r="D30" s="3" t="s">
        <v>87</v>
      </c>
      <c r="E30" s="3" t="s">
        <v>51</v>
      </c>
      <c r="F30" s="19">
        <v>120</v>
      </c>
      <c r="H30" s="19">
        <f t="shared" si="4"/>
        <v>0</v>
      </c>
      <c r="I30" s="19">
        <f t="shared" si="5"/>
        <v>0</v>
      </c>
      <c r="J30" s="19">
        <f t="shared" si="0"/>
        <v>0</v>
      </c>
      <c r="K30" s="19">
        <v>0</v>
      </c>
      <c r="L30" s="19">
        <f t="shared" si="6"/>
        <v>0</v>
      </c>
    </row>
    <row r="31" spans="1:12" ht="12.75">
      <c r="A31" s="3" t="s">
        <v>88</v>
      </c>
      <c r="B31" s="3"/>
      <c r="C31" s="3" t="s">
        <v>89</v>
      </c>
      <c r="D31" s="3" t="s">
        <v>90</v>
      </c>
      <c r="E31" s="3" t="s">
        <v>51</v>
      </c>
      <c r="F31" s="19">
        <v>256.5</v>
      </c>
      <c r="H31" s="19">
        <f t="shared" si="4"/>
        <v>0</v>
      </c>
      <c r="I31" s="19">
        <f t="shared" si="5"/>
        <v>0</v>
      </c>
      <c r="J31" s="19">
        <f t="shared" si="0"/>
        <v>0</v>
      </c>
      <c r="K31" s="19">
        <v>0</v>
      </c>
      <c r="L31" s="19">
        <f t="shared" si="6"/>
        <v>0</v>
      </c>
    </row>
    <row r="32" spans="1:12" ht="12.75">
      <c r="A32" s="3" t="s">
        <v>91</v>
      </c>
      <c r="B32" s="3"/>
      <c r="C32" s="3" t="s">
        <v>92</v>
      </c>
      <c r="D32" s="3" t="s">
        <v>93</v>
      </c>
      <c r="E32" s="3" t="s">
        <v>51</v>
      </c>
      <c r="F32" s="19">
        <v>51.28</v>
      </c>
      <c r="H32" s="19">
        <f t="shared" si="4"/>
        <v>0</v>
      </c>
      <c r="I32" s="19">
        <f t="shared" si="5"/>
        <v>0</v>
      </c>
      <c r="J32" s="19">
        <f t="shared" si="0"/>
        <v>0</v>
      </c>
      <c r="K32" s="19">
        <v>0</v>
      </c>
      <c r="L32" s="19">
        <f t="shared" si="6"/>
        <v>0</v>
      </c>
    </row>
    <row r="33" spans="1:12" ht="12.75">
      <c r="A33" s="3" t="s">
        <v>94</v>
      </c>
      <c r="B33" s="3"/>
      <c r="C33" s="3" t="s">
        <v>95</v>
      </c>
      <c r="D33" s="3" t="s">
        <v>96</v>
      </c>
      <c r="E33" s="3" t="s">
        <v>51</v>
      </c>
      <c r="F33" s="19">
        <v>171</v>
      </c>
      <c r="H33" s="19">
        <f t="shared" si="4"/>
        <v>0</v>
      </c>
      <c r="I33" s="19">
        <f t="shared" si="5"/>
        <v>0</v>
      </c>
      <c r="J33" s="19">
        <f t="shared" si="0"/>
        <v>0</v>
      </c>
      <c r="K33" s="19">
        <v>0</v>
      </c>
      <c r="L33" s="19">
        <f t="shared" si="6"/>
        <v>0</v>
      </c>
    </row>
    <row r="34" spans="1:12" ht="12.75">
      <c r="A34" s="3" t="s">
        <v>97</v>
      </c>
      <c r="B34" s="3"/>
      <c r="C34" s="3" t="s">
        <v>98</v>
      </c>
      <c r="D34" s="3" t="s">
        <v>99</v>
      </c>
      <c r="E34" s="3" t="s">
        <v>51</v>
      </c>
      <c r="F34" s="19">
        <v>34.2</v>
      </c>
      <c r="H34" s="19">
        <f t="shared" si="4"/>
        <v>0</v>
      </c>
      <c r="I34" s="19">
        <f t="shared" si="5"/>
        <v>0</v>
      </c>
      <c r="J34" s="19">
        <f t="shared" si="0"/>
        <v>0</v>
      </c>
      <c r="K34" s="19">
        <v>0</v>
      </c>
      <c r="L34" s="19">
        <f t="shared" si="6"/>
        <v>0</v>
      </c>
    </row>
    <row r="35" spans="1:12" ht="12.75">
      <c r="A35" s="20"/>
      <c r="B35" s="20"/>
      <c r="C35" s="21" t="s">
        <v>75</v>
      </c>
      <c r="D35" s="55" t="s">
        <v>100</v>
      </c>
      <c r="E35" s="55"/>
      <c r="F35" s="55"/>
      <c r="G35" s="55"/>
      <c r="H35" s="22">
        <f>SUM(H36:H39)</f>
        <v>0</v>
      </c>
      <c r="I35" s="22">
        <f>SUM(I36:I39)</f>
        <v>0</v>
      </c>
      <c r="J35" s="22">
        <f t="shared" si="0"/>
        <v>0</v>
      </c>
      <c r="K35" s="23"/>
      <c r="L35" s="22">
        <f>SUM(L36:L39)</f>
        <v>0</v>
      </c>
    </row>
    <row r="36" spans="1:12" ht="12.75">
      <c r="A36" s="3" t="s">
        <v>101</v>
      </c>
      <c r="B36" s="3"/>
      <c r="C36" s="3" t="s">
        <v>102</v>
      </c>
      <c r="D36" s="3" t="s">
        <v>103</v>
      </c>
      <c r="E36" s="3" t="s">
        <v>51</v>
      </c>
      <c r="F36" s="19">
        <v>80.58</v>
      </c>
      <c r="H36" s="19">
        <f>F36*G36*0</f>
        <v>0</v>
      </c>
      <c r="I36" s="19">
        <f>F36*G36*(1-0)</f>
        <v>0</v>
      </c>
      <c r="J36" s="19">
        <f t="shared" si="0"/>
        <v>0</v>
      </c>
      <c r="K36" s="19">
        <v>0</v>
      </c>
      <c r="L36" s="19">
        <f>F36*K36</f>
        <v>0</v>
      </c>
    </row>
    <row r="37" spans="1:12" ht="12.75">
      <c r="A37" s="3" t="s">
        <v>104</v>
      </c>
      <c r="B37" s="3"/>
      <c r="C37" s="3" t="s">
        <v>105</v>
      </c>
      <c r="D37" s="3" t="s">
        <v>106</v>
      </c>
      <c r="E37" s="3" t="s">
        <v>51</v>
      </c>
      <c r="F37" s="19">
        <v>16.12</v>
      </c>
      <c r="H37" s="19">
        <f>F37*G37*0</f>
        <v>0</v>
      </c>
      <c r="I37" s="19">
        <f>F37*G37*(1-0)</f>
        <v>0</v>
      </c>
      <c r="J37" s="19">
        <f t="shared" si="0"/>
        <v>0</v>
      </c>
      <c r="K37" s="19">
        <v>0</v>
      </c>
      <c r="L37" s="19">
        <f>F37*K37</f>
        <v>0</v>
      </c>
    </row>
    <row r="38" spans="1:12" ht="12.75">
      <c r="A38" s="3" t="s">
        <v>107</v>
      </c>
      <c r="B38" s="3"/>
      <c r="C38" s="3" t="s">
        <v>108</v>
      </c>
      <c r="D38" s="3" t="s">
        <v>109</v>
      </c>
      <c r="E38" s="3" t="s">
        <v>51</v>
      </c>
      <c r="F38" s="19">
        <v>53.72</v>
      </c>
      <c r="H38" s="19">
        <f>F38*G38*0</f>
        <v>0</v>
      </c>
      <c r="I38" s="19">
        <f>F38*G38*(1-0)</f>
        <v>0</v>
      </c>
      <c r="J38" s="19">
        <f t="shared" si="0"/>
        <v>0</v>
      </c>
      <c r="K38" s="19">
        <v>0</v>
      </c>
      <c r="L38" s="19">
        <f>F38*K38</f>
        <v>0</v>
      </c>
    </row>
    <row r="39" spans="1:12" ht="12.75">
      <c r="A39" s="3" t="s">
        <v>110</v>
      </c>
      <c r="B39" s="3"/>
      <c r="C39" s="3" t="s">
        <v>111</v>
      </c>
      <c r="D39" s="3" t="s">
        <v>112</v>
      </c>
      <c r="E39" s="3" t="s">
        <v>51</v>
      </c>
      <c r="F39" s="19">
        <v>10.74</v>
      </c>
      <c r="H39" s="19">
        <f>F39*G39*0</f>
        <v>0</v>
      </c>
      <c r="I39" s="19">
        <f>F39*G39*(1-0)</f>
        <v>0</v>
      </c>
      <c r="J39" s="19">
        <f t="shared" si="0"/>
        <v>0</v>
      </c>
      <c r="K39" s="19">
        <v>0</v>
      </c>
      <c r="L39" s="19">
        <f>F39*K39</f>
        <v>0</v>
      </c>
    </row>
    <row r="40" spans="1:12" ht="12.75">
      <c r="A40" s="20"/>
      <c r="B40" s="20"/>
      <c r="C40" s="21" t="s">
        <v>82</v>
      </c>
      <c r="D40" s="55" t="s">
        <v>113</v>
      </c>
      <c r="E40" s="55"/>
      <c r="F40" s="55"/>
      <c r="G40" s="55"/>
      <c r="H40" s="22">
        <f>SUM(H41:H42)</f>
        <v>0</v>
      </c>
      <c r="I40" s="22">
        <f>SUM(I41:I42)</f>
        <v>0</v>
      </c>
      <c r="J40" s="22">
        <f t="shared" si="0"/>
        <v>0</v>
      </c>
      <c r="K40" s="23"/>
      <c r="L40" s="22">
        <f>SUM(L41:L42)</f>
        <v>0.161568</v>
      </c>
    </row>
    <row r="41" spans="1:12" ht="12.75">
      <c r="A41" s="3" t="s">
        <v>114</v>
      </c>
      <c r="B41" s="3"/>
      <c r="C41" s="3" t="s">
        <v>115</v>
      </c>
      <c r="D41" s="3" t="s">
        <v>116</v>
      </c>
      <c r="E41" s="3" t="s">
        <v>65</v>
      </c>
      <c r="F41" s="19">
        <v>163.2</v>
      </c>
      <c r="H41" s="19">
        <f>F41*G41*0.114622352478727</f>
        <v>0</v>
      </c>
      <c r="I41" s="19">
        <f>F41*G41*(1-0.114622352478727)</f>
        <v>0</v>
      </c>
      <c r="J41" s="19">
        <f t="shared" si="0"/>
        <v>0</v>
      </c>
      <c r="K41" s="19">
        <v>0.00099</v>
      </c>
      <c r="L41" s="19">
        <f>F41*K41</f>
        <v>0.161568</v>
      </c>
    </row>
    <row r="42" spans="1:12" ht="12.75">
      <c r="A42" s="3" t="s">
        <v>117</v>
      </c>
      <c r="B42" s="3"/>
      <c r="C42" s="3" t="s">
        <v>118</v>
      </c>
      <c r="D42" s="3" t="s">
        <v>119</v>
      </c>
      <c r="E42" s="3" t="s">
        <v>65</v>
      </c>
      <c r="F42" s="19">
        <v>163.2</v>
      </c>
      <c r="H42" s="19">
        <f>F42*G42*0</f>
        <v>0</v>
      </c>
      <c r="I42" s="19">
        <f>F42*G42*(1-0)</f>
        <v>0</v>
      </c>
      <c r="J42" s="19">
        <f t="shared" si="0"/>
        <v>0</v>
      </c>
      <c r="K42" s="19">
        <v>0</v>
      </c>
      <c r="L42" s="19">
        <f>F42*K42</f>
        <v>0</v>
      </c>
    </row>
    <row r="43" spans="1:12" ht="12.75">
      <c r="A43" s="20"/>
      <c r="B43" s="20"/>
      <c r="C43" s="21" t="s">
        <v>85</v>
      </c>
      <c r="D43" s="55" t="s">
        <v>120</v>
      </c>
      <c r="E43" s="55"/>
      <c r="F43" s="55"/>
      <c r="G43" s="55"/>
      <c r="H43" s="22">
        <f>SUM(H44:H49)</f>
        <v>0</v>
      </c>
      <c r="I43" s="22">
        <f>SUM(I44:I49)</f>
        <v>0</v>
      </c>
      <c r="J43" s="22">
        <f t="shared" si="0"/>
        <v>0</v>
      </c>
      <c r="K43" s="23"/>
      <c r="L43" s="22">
        <f>SUM(L44:L49)</f>
        <v>0</v>
      </c>
    </row>
    <row r="44" spans="1:12" ht="12.75">
      <c r="A44" s="3" t="s">
        <v>121</v>
      </c>
      <c r="B44" s="3"/>
      <c r="C44" s="3" t="s">
        <v>122</v>
      </c>
      <c r="D44" s="3" t="s">
        <v>123</v>
      </c>
      <c r="E44" s="3" t="s">
        <v>55</v>
      </c>
      <c r="F44" s="19">
        <v>1</v>
      </c>
      <c r="H44" s="19">
        <f aca="true" t="shared" si="7" ref="H44:H49">F44*G44*0</f>
        <v>0</v>
      </c>
      <c r="I44" s="19">
        <f aca="true" t="shared" si="8" ref="I44:I49">F44*G44*(1-0)</f>
        <v>0</v>
      </c>
      <c r="J44" s="19">
        <f aca="true" t="shared" si="9" ref="J44:J75">H44+I44</f>
        <v>0</v>
      </c>
      <c r="K44" s="19">
        <v>0</v>
      </c>
      <c r="L44" s="19">
        <f aca="true" t="shared" si="10" ref="L44:L49">F44*K44</f>
        <v>0</v>
      </c>
    </row>
    <row r="45" spans="1:12" ht="12.75">
      <c r="A45" s="3" t="s">
        <v>124</v>
      </c>
      <c r="B45" s="3"/>
      <c r="C45" s="3" t="s">
        <v>125</v>
      </c>
      <c r="D45" s="3" t="s">
        <v>126</v>
      </c>
      <c r="E45" s="3" t="s">
        <v>55</v>
      </c>
      <c r="F45" s="19">
        <v>1</v>
      </c>
      <c r="H45" s="19">
        <f t="shared" si="7"/>
        <v>0</v>
      </c>
      <c r="I45" s="19">
        <f t="shared" si="8"/>
        <v>0</v>
      </c>
      <c r="J45" s="19">
        <f t="shared" si="9"/>
        <v>0</v>
      </c>
      <c r="K45" s="19">
        <v>0</v>
      </c>
      <c r="L45" s="19">
        <f t="shared" si="10"/>
        <v>0</v>
      </c>
    </row>
    <row r="46" spans="1:12" ht="12.75">
      <c r="A46" s="3" t="s">
        <v>127</v>
      </c>
      <c r="B46" s="3"/>
      <c r="C46" s="3" t="s">
        <v>128</v>
      </c>
      <c r="D46" s="3" t="s">
        <v>129</v>
      </c>
      <c r="E46" s="3" t="s">
        <v>55</v>
      </c>
      <c r="F46" s="19">
        <v>1</v>
      </c>
      <c r="H46" s="19">
        <f t="shared" si="7"/>
        <v>0</v>
      </c>
      <c r="I46" s="19">
        <f t="shared" si="8"/>
        <v>0</v>
      </c>
      <c r="J46" s="19">
        <f t="shared" si="9"/>
        <v>0</v>
      </c>
      <c r="K46" s="19">
        <v>0</v>
      </c>
      <c r="L46" s="19">
        <f t="shared" si="10"/>
        <v>0</v>
      </c>
    </row>
    <row r="47" spans="1:12" ht="12.75">
      <c r="A47" s="3" t="s">
        <v>130</v>
      </c>
      <c r="B47" s="3"/>
      <c r="C47" s="3" t="s">
        <v>131</v>
      </c>
      <c r="D47" s="3" t="s">
        <v>132</v>
      </c>
      <c r="E47" s="3" t="s">
        <v>51</v>
      </c>
      <c r="F47" s="19">
        <v>142.5</v>
      </c>
      <c r="H47" s="19">
        <f t="shared" si="7"/>
        <v>0</v>
      </c>
      <c r="I47" s="19">
        <f t="shared" si="8"/>
        <v>0</v>
      </c>
      <c r="J47" s="19">
        <f t="shared" si="9"/>
        <v>0</v>
      </c>
      <c r="K47" s="19">
        <v>0</v>
      </c>
      <c r="L47" s="19">
        <f t="shared" si="10"/>
        <v>0</v>
      </c>
    </row>
    <row r="48" spans="1:12" ht="12.75">
      <c r="A48" s="3" t="s">
        <v>133</v>
      </c>
      <c r="B48" s="3"/>
      <c r="C48" s="3" t="s">
        <v>134</v>
      </c>
      <c r="D48" s="3" t="s">
        <v>135</v>
      </c>
      <c r="E48" s="3" t="s">
        <v>51</v>
      </c>
      <c r="F48" s="19">
        <v>328.4</v>
      </c>
      <c r="H48" s="19">
        <f t="shared" si="7"/>
        <v>0</v>
      </c>
      <c r="I48" s="19">
        <f t="shared" si="8"/>
        <v>0</v>
      </c>
      <c r="J48" s="19">
        <f t="shared" si="9"/>
        <v>0</v>
      </c>
      <c r="K48" s="19">
        <v>0</v>
      </c>
      <c r="L48" s="19">
        <f t="shared" si="10"/>
        <v>0</v>
      </c>
    </row>
    <row r="49" spans="1:12" ht="12.75">
      <c r="A49" s="3" t="s">
        <v>136</v>
      </c>
      <c r="B49" s="3"/>
      <c r="C49" s="3" t="s">
        <v>137</v>
      </c>
      <c r="D49" s="3" t="s">
        <v>138</v>
      </c>
      <c r="E49" s="3" t="s">
        <v>51</v>
      </c>
      <c r="F49" s="19">
        <v>75</v>
      </c>
      <c r="H49" s="19">
        <f t="shared" si="7"/>
        <v>0</v>
      </c>
      <c r="I49" s="19">
        <f t="shared" si="8"/>
        <v>0</v>
      </c>
      <c r="J49" s="19">
        <f t="shared" si="9"/>
        <v>0</v>
      </c>
      <c r="K49" s="19">
        <v>0</v>
      </c>
      <c r="L49" s="19">
        <f t="shared" si="10"/>
        <v>0</v>
      </c>
    </row>
    <row r="50" spans="1:12" ht="12.75">
      <c r="A50" s="20"/>
      <c r="B50" s="20"/>
      <c r="C50" s="21" t="s">
        <v>88</v>
      </c>
      <c r="D50" s="55" t="s">
        <v>139</v>
      </c>
      <c r="E50" s="55"/>
      <c r="F50" s="55"/>
      <c r="G50" s="55"/>
      <c r="H50" s="22">
        <f>SUM(H51:H56)</f>
        <v>0</v>
      </c>
      <c r="I50" s="22">
        <f>SUM(I51:I56)</f>
        <v>0</v>
      </c>
      <c r="J50" s="22">
        <f t="shared" si="9"/>
        <v>0</v>
      </c>
      <c r="K50" s="23"/>
      <c r="L50" s="22">
        <f>SUM(L51:L56)</f>
        <v>0</v>
      </c>
    </row>
    <row r="51" spans="1:12" ht="12.75">
      <c r="A51" s="3" t="s">
        <v>140</v>
      </c>
      <c r="B51" s="3"/>
      <c r="C51" s="3" t="s">
        <v>141</v>
      </c>
      <c r="D51" s="3" t="s">
        <v>142</v>
      </c>
      <c r="E51" s="3" t="s">
        <v>51</v>
      </c>
      <c r="F51" s="19">
        <v>142.5</v>
      </c>
      <c r="H51" s="19">
        <f aca="true" t="shared" si="11" ref="H51:H56">F51*G51*0</f>
        <v>0</v>
      </c>
      <c r="I51" s="19">
        <f aca="true" t="shared" si="12" ref="I51:I56">F51*G51*(1-0)</f>
        <v>0</v>
      </c>
      <c r="J51" s="19">
        <f t="shared" si="9"/>
        <v>0</v>
      </c>
      <c r="K51" s="19">
        <v>0</v>
      </c>
      <c r="L51" s="19">
        <f aca="true" t="shared" si="13" ref="L51:L56">F51*K51</f>
        <v>0</v>
      </c>
    </row>
    <row r="52" spans="1:12" ht="12.75">
      <c r="A52" s="3" t="s">
        <v>143</v>
      </c>
      <c r="B52" s="3"/>
      <c r="C52" s="3" t="s">
        <v>144</v>
      </c>
      <c r="D52" s="3" t="s">
        <v>145</v>
      </c>
      <c r="E52" s="3" t="s">
        <v>51</v>
      </c>
      <c r="F52" s="19">
        <v>328.4</v>
      </c>
      <c r="H52" s="19">
        <f t="shared" si="11"/>
        <v>0</v>
      </c>
      <c r="I52" s="19">
        <f t="shared" si="12"/>
        <v>0</v>
      </c>
      <c r="J52" s="19">
        <f t="shared" si="9"/>
        <v>0</v>
      </c>
      <c r="K52" s="19">
        <v>0</v>
      </c>
      <c r="L52" s="19">
        <f t="shared" si="13"/>
        <v>0</v>
      </c>
    </row>
    <row r="53" spans="1:12" ht="12.75">
      <c r="A53" s="3" t="s">
        <v>146</v>
      </c>
      <c r="B53" s="3"/>
      <c r="C53" s="3" t="s">
        <v>147</v>
      </c>
      <c r="D53" s="3" t="s">
        <v>148</v>
      </c>
      <c r="E53" s="3" t="s">
        <v>51</v>
      </c>
      <c r="F53" s="19">
        <v>107.44</v>
      </c>
      <c r="H53" s="19">
        <f t="shared" si="11"/>
        <v>0</v>
      </c>
      <c r="I53" s="19">
        <f t="shared" si="12"/>
        <v>0</v>
      </c>
      <c r="J53" s="19">
        <f t="shared" si="9"/>
        <v>0</v>
      </c>
      <c r="K53" s="19">
        <v>0</v>
      </c>
      <c r="L53" s="19">
        <f t="shared" si="13"/>
        <v>0</v>
      </c>
    </row>
    <row r="54" spans="1:12" ht="12.75">
      <c r="A54" s="3" t="s">
        <v>149</v>
      </c>
      <c r="B54" s="3"/>
      <c r="C54" s="3" t="s">
        <v>150</v>
      </c>
      <c r="D54" s="3" t="s">
        <v>151</v>
      </c>
      <c r="E54" s="3" t="s">
        <v>51</v>
      </c>
      <c r="F54" s="19">
        <v>26.86</v>
      </c>
      <c r="H54" s="19">
        <f t="shared" si="11"/>
        <v>0</v>
      </c>
      <c r="I54" s="19">
        <f t="shared" si="12"/>
        <v>0</v>
      </c>
      <c r="J54" s="19">
        <f t="shared" si="9"/>
        <v>0</v>
      </c>
      <c r="K54" s="19">
        <v>0</v>
      </c>
      <c r="L54" s="19">
        <f t="shared" si="13"/>
        <v>0</v>
      </c>
    </row>
    <row r="55" spans="1:12" ht="12.75">
      <c r="A55" s="3" t="s">
        <v>152</v>
      </c>
      <c r="B55" s="3"/>
      <c r="C55" s="3" t="s">
        <v>153</v>
      </c>
      <c r="D55" s="3" t="s">
        <v>154</v>
      </c>
      <c r="E55" s="3" t="s">
        <v>51</v>
      </c>
      <c r="F55" s="19">
        <v>26.86</v>
      </c>
      <c r="H55" s="19">
        <f t="shared" si="11"/>
        <v>0</v>
      </c>
      <c r="I55" s="19">
        <f t="shared" si="12"/>
        <v>0</v>
      </c>
      <c r="J55" s="19">
        <f t="shared" si="9"/>
        <v>0</v>
      </c>
      <c r="K55" s="19">
        <v>0</v>
      </c>
      <c r="L55" s="19">
        <f t="shared" si="13"/>
        <v>0</v>
      </c>
    </row>
    <row r="56" spans="1:12" ht="12.75">
      <c r="A56" s="3" t="s">
        <v>155</v>
      </c>
      <c r="B56" s="3"/>
      <c r="C56" s="3" t="s">
        <v>156</v>
      </c>
      <c r="D56" s="3" t="s">
        <v>157</v>
      </c>
      <c r="E56" s="3" t="s">
        <v>51</v>
      </c>
      <c r="F56" s="19">
        <v>6</v>
      </c>
      <c r="H56" s="19">
        <f t="shared" si="11"/>
        <v>0</v>
      </c>
      <c r="I56" s="19">
        <f t="shared" si="12"/>
        <v>0</v>
      </c>
      <c r="J56" s="19">
        <f t="shared" si="9"/>
        <v>0</v>
      </c>
      <c r="K56" s="19">
        <v>0</v>
      </c>
      <c r="L56" s="19">
        <f t="shared" si="13"/>
        <v>0</v>
      </c>
    </row>
    <row r="57" spans="1:12" ht="12.75">
      <c r="A57" s="20"/>
      <c r="B57" s="20"/>
      <c r="C57" s="21" t="s">
        <v>91</v>
      </c>
      <c r="D57" s="55" t="s">
        <v>158</v>
      </c>
      <c r="E57" s="55"/>
      <c r="F57" s="55"/>
      <c r="G57" s="55"/>
      <c r="H57" s="22">
        <f>SUM(H58:H66)</f>
        <v>0</v>
      </c>
      <c r="I57" s="22">
        <f>SUM(I58:I66)</f>
        <v>0</v>
      </c>
      <c r="J57" s="22">
        <f t="shared" si="9"/>
        <v>0</v>
      </c>
      <c r="K57" s="23"/>
      <c r="L57" s="22">
        <f>SUM(L58:L66)</f>
        <v>0.018000000000000002</v>
      </c>
    </row>
    <row r="58" spans="1:12" ht="12.75">
      <c r="A58" s="3" t="s">
        <v>159</v>
      </c>
      <c r="B58" s="3"/>
      <c r="C58" s="3" t="s">
        <v>160</v>
      </c>
      <c r="D58" s="3" t="s">
        <v>161</v>
      </c>
      <c r="E58" s="3" t="s">
        <v>65</v>
      </c>
      <c r="F58" s="19">
        <v>450</v>
      </c>
      <c r="H58" s="19">
        <f>F58*G58*0.0791599353796446</f>
        <v>0</v>
      </c>
      <c r="I58" s="19">
        <f>F58*G58*(1-0.0791599353796446)</f>
        <v>0</v>
      </c>
      <c r="J58" s="19">
        <f t="shared" si="9"/>
        <v>0</v>
      </c>
      <c r="K58" s="19">
        <v>0</v>
      </c>
      <c r="L58" s="19">
        <f aca="true" t="shared" si="14" ref="L58:L66">F58*K58</f>
        <v>0</v>
      </c>
    </row>
    <row r="59" spans="1:12" ht="12.75">
      <c r="A59" s="3" t="s">
        <v>162</v>
      </c>
      <c r="B59" s="3"/>
      <c r="C59" s="3" t="s">
        <v>163</v>
      </c>
      <c r="D59" s="3" t="s">
        <v>164</v>
      </c>
      <c r="E59" s="3" t="s">
        <v>65</v>
      </c>
      <c r="F59" s="19">
        <v>570</v>
      </c>
      <c r="H59" s="19">
        <f aca="true" t="shared" si="15" ref="H59:H64">F59*G59*0</f>
        <v>0</v>
      </c>
      <c r="I59" s="19">
        <f aca="true" t="shared" si="16" ref="I59:I64">F59*G59*(1-0)</f>
        <v>0</v>
      </c>
      <c r="J59" s="19">
        <f t="shared" si="9"/>
        <v>0</v>
      </c>
      <c r="K59" s="19">
        <v>0</v>
      </c>
      <c r="L59" s="19">
        <f t="shared" si="14"/>
        <v>0</v>
      </c>
    </row>
    <row r="60" spans="1:12" ht="12.75">
      <c r="A60" s="3" t="s">
        <v>165</v>
      </c>
      <c r="B60" s="3"/>
      <c r="C60" s="3" t="s">
        <v>166</v>
      </c>
      <c r="D60" s="3" t="s">
        <v>167</v>
      </c>
      <c r="E60" s="3" t="s">
        <v>65</v>
      </c>
      <c r="F60" s="19">
        <v>380</v>
      </c>
      <c r="H60" s="19">
        <f t="shared" si="15"/>
        <v>0</v>
      </c>
      <c r="I60" s="19">
        <f t="shared" si="16"/>
        <v>0</v>
      </c>
      <c r="J60" s="19">
        <f t="shared" si="9"/>
        <v>0</v>
      </c>
      <c r="K60" s="19">
        <v>0</v>
      </c>
      <c r="L60" s="19">
        <f t="shared" si="14"/>
        <v>0</v>
      </c>
    </row>
    <row r="61" spans="1:12" ht="12.75">
      <c r="A61" s="3" t="s">
        <v>168</v>
      </c>
      <c r="B61" s="3"/>
      <c r="C61" s="3" t="s">
        <v>169</v>
      </c>
      <c r="D61" s="3" t="s">
        <v>170</v>
      </c>
      <c r="E61" s="3" t="s">
        <v>65</v>
      </c>
      <c r="F61" s="19">
        <v>450</v>
      </c>
      <c r="H61" s="19">
        <f t="shared" si="15"/>
        <v>0</v>
      </c>
      <c r="I61" s="19">
        <f t="shared" si="16"/>
        <v>0</v>
      </c>
      <c r="J61" s="19">
        <f t="shared" si="9"/>
        <v>0</v>
      </c>
      <c r="K61" s="19">
        <v>0</v>
      </c>
      <c r="L61" s="19">
        <f t="shared" si="14"/>
        <v>0</v>
      </c>
    </row>
    <row r="62" spans="1:12" ht="12.75">
      <c r="A62" s="3" t="s">
        <v>171</v>
      </c>
      <c r="B62" s="3"/>
      <c r="C62" s="3" t="s">
        <v>172</v>
      </c>
      <c r="D62" s="3" t="s">
        <v>173</v>
      </c>
      <c r="E62" s="3" t="s">
        <v>65</v>
      </c>
      <c r="F62" s="19">
        <v>450</v>
      </c>
      <c r="H62" s="19">
        <f t="shared" si="15"/>
        <v>0</v>
      </c>
      <c r="I62" s="19">
        <f t="shared" si="16"/>
        <v>0</v>
      </c>
      <c r="J62" s="19">
        <f t="shared" si="9"/>
        <v>0</v>
      </c>
      <c r="K62" s="19">
        <v>0</v>
      </c>
      <c r="L62" s="19">
        <f t="shared" si="14"/>
        <v>0</v>
      </c>
    </row>
    <row r="63" spans="1:12" ht="12.75">
      <c r="A63" s="3" t="s">
        <v>174</v>
      </c>
      <c r="B63" s="3"/>
      <c r="C63" s="3" t="s">
        <v>175</v>
      </c>
      <c r="D63" s="3" t="s">
        <v>176</v>
      </c>
      <c r="E63" s="3" t="s">
        <v>55</v>
      </c>
      <c r="F63" s="19">
        <v>2</v>
      </c>
      <c r="H63" s="19">
        <f t="shared" si="15"/>
        <v>0</v>
      </c>
      <c r="I63" s="19">
        <f t="shared" si="16"/>
        <v>0</v>
      </c>
      <c r="J63" s="19">
        <f t="shared" si="9"/>
        <v>0</v>
      </c>
      <c r="K63" s="19">
        <v>0</v>
      </c>
      <c r="L63" s="19">
        <f t="shared" si="14"/>
        <v>0</v>
      </c>
    </row>
    <row r="64" spans="1:12" ht="12.75">
      <c r="A64" s="3" t="s">
        <v>177</v>
      </c>
      <c r="B64" s="3"/>
      <c r="C64" s="3" t="s">
        <v>178</v>
      </c>
      <c r="D64" s="3" t="s">
        <v>179</v>
      </c>
      <c r="E64" s="3" t="s">
        <v>55</v>
      </c>
      <c r="F64" s="19">
        <v>2</v>
      </c>
      <c r="H64" s="19">
        <f t="shared" si="15"/>
        <v>0</v>
      </c>
      <c r="I64" s="19">
        <f t="shared" si="16"/>
        <v>0</v>
      </c>
      <c r="J64" s="19">
        <f t="shared" si="9"/>
        <v>0</v>
      </c>
      <c r="K64" s="19">
        <v>0</v>
      </c>
      <c r="L64" s="19">
        <f t="shared" si="14"/>
        <v>0</v>
      </c>
    </row>
    <row r="65" spans="1:12" ht="12.75">
      <c r="A65" s="3" t="s">
        <v>180</v>
      </c>
      <c r="B65" s="3"/>
      <c r="C65" s="3" t="s">
        <v>181</v>
      </c>
      <c r="D65" s="3" t="s">
        <v>182</v>
      </c>
      <c r="E65" s="3" t="s">
        <v>55</v>
      </c>
      <c r="F65" s="19">
        <v>2</v>
      </c>
      <c r="H65" s="19">
        <f>F65*G65*0.585264408793821</f>
        <v>0</v>
      </c>
      <c r="I65" s="19">
        <f>F65*G65*(1-0.585264408793821)</f>
        <v>0</v>
      </c>
      <c r="J65" s="19">
        <f t="shared" si="9"/>
        <v>0</v>
      </c>
      <c r="K65" s="19">
        <v>0</v>
      </c>
      <c r="L65" s="19">
        <f t="shared" si="14"/>
        <v>0</v>
      </c>
    </row>
    <row r="66" spans="1:12" ht="12.75">
      <c r="A66" s="3" t="s">
        <v>183</v>
      </c>
      <c r="B66" s="3"/>
      <c r="C66" s="3" t="s">
        <v>184</v>
      </c>
      <c r="D66" s="3" t="s">
        <v>185</v>
      </c>
      <c r="E66" s="3" t="s">
        <v>55</v>
      </c>
      <c r="F66" s="19">
        <v>6</v>
      </c>
      <c r="H66" s="19">
        <f>F66*G66*0.0167648608516549</f>
        <v>0</v>
      </c>
      <c r="I66" s="19">
        <f>F66*G66*(1-0.0167648608516549)</f>
        <v>0</v>
      </c>
      <c r="J66" s="19">
        <f t="shared" si="9"/>
        <v>0</v>
      </c>
      <c r="K66" s="19">
        <v>0.003</v>
      </c>
      <c r="L66" s="19">
        <f t="shared" si="14"/>
        <v>0.018000000000000002</v>
      </c>
    </row>
    <row r="67" spans="1:12" ht="12.75">
      <c r="A67" s="20"/>
      <c r="B67" s="20"/>
      <c r="C67" s="21" t="s">
        <v>101</v>
      </c>
      <c r="D67" s="55" t="s">
        <v>186</v>
      </c>
      <c r="E67" s="55"/>
      <c r="F67" s="55"/>
      <c r="G67" s="55"/>
      <c r="H67" s="22">
        <f>SUM(H68:H68)</f>
        <v>0</v>
      </c>
      <c r="I67" s="22">
        <f>SUM(I68:I68)</f>
        <v>0</v>
      </c>
      <c r="J67" s="22">
        <f t="shared" si="9"/>
        <v>0</v>
      </c>
      <c r="K67" s="23"/>
      <c r="L67" s="22">
        <f>SUM(L68:L68)</f>
        <v>17.46453</v>
      </c>
    </row>
    <row r="68" spans="1:12" ht="12.75">
      <c r="A68" s="3" t="s">
        <v>187</v>
      </c>
      <c r="B68" s="3"/>
      <c r="C68" s="3" t="s">
        <v>188</v>
      </c>
      <c r="D68" s="3" t="s">
        <v>189</v>
      </c>
      <c r="E68" s="3" t="s">
        <v>74</v>
      </c>
      <c r="F68" s="19">
        <v>79</v>
      </c>
      <c r="H68" s="19">
        <f>F68*G68*0.880228505034857</f>
        <v>0</v>
      </c>
      <c r="I68" s="19">
        <f>F68*G68*(1-0.880228505034857)</f>
        <v>0</v>
      </c>
      <c r="J68" s="19">
        <f t="shared" si="9"/>
        <v>0</v>
      </c>
      <c r="K68" s="19">
        <v>0.22107</v>
      </c>
      <c r="L68" s="19">
        <f>F68*K68</f>
        <v>17.46453</v>
      </c>
    </row>
    <row r="69" spans="1:12" ht="12.75">
      <c r="A69" s="20"/>
      <c r="B69" s="20"/>
      <c r="C69" s="21" t="s">
        <v>155</v>
      </c>
      <c r="D69" s="55" t="s">
        <v>190</v>
      </c>
      <c r="E69" s="55"/>
      <c r="F69" s="55"/>
      <c r="G69" s="55"/>
      <c r="H69" s="22">
        <f>SUM(H70:H72)</f>
        <v>0</v>
      </c>
      <c r="I69" s="22">
        <f>SUM(I70:I72)</f>
        <v>0</v>
      </c>
      <c r="J69" s="22">
        <f t="shared" si="9"/>
        <v>0</v>
      </c>
      <c r="K69" s="23"/>
      <c r="L69" s="22">
        <f>SUM(L70:L72)</f>
        <v>7.365000000000001</v>
      </c>
    </row>
    <row r="70" spans="1:12" ht="12.75">
      <c r="A70" s="3" t="s">
        <v>191</v>
      </c>
      <c r="B70" s="3"/>
      <c r="C70" s="3" t="s">
        <v>192</v>
      </c>
      <c r="D70" s="3" t="s">
        <v>193</v>
      </c>
      <c r="E70" s="3" t="s">
        <v>51</v>
      </c>
      <c r="F70" s="19">
        <v>3</v>
      </c>
      <c r="H70" s="19">
        <f>F70*G70*0.743372488408037</f>
        <v>0</v>
      </c>
      <c r="I70" s="19">
        <f>F70*G70*(1-0.743372488408037)</f>
        <v>0</v>
      </c>
      <c r="J70" s="19">
        <f t="shared" si="9"/>
        <v>0</v>
      </c>
      <c r="K70" s="19">
        <v>2.363</v>
      </c>
      <c r="L70" s="19">
        <f>F70*K70</f>
        <v>7.089</v>
      </c>
    </row>
    <row r="71" spans="1:12" ht="12.75">
      <c r="A71" s="3" t="s">
        <v>194</v>
      </c>
      <c r="B71" s="3"/>
      <c r="C71" s="3" t="s">
        <v>195</v>
      </c>
      <c r="D71" s="3" t="s">
        <v>196</v>
      </c>
      <c r="E71" s="3" t="s">
        <v>74</v>
      </c>
      <c r="F71" s="19">
        <v>60</v>
      </c>
      <c r="H71" s="19">
        <f>F71*G71*0.786366786366786</f>
        <v>0</v>
      </c>
      <c r="I71" s="19">
        <f>F71*G71*(1-0.786366786366786)</f>
        <v>0</v>
      </c>
      <c r="J71" s="19">
        <f t="shared" si="9"/>
        <v>0</v>
      </c>
      <c r="K71" s="19">
        <v>0.00283</v>
      </c>
      <c r="L71" s="19">
        <f>F71*K71</f>
        <v>0.1698</v>
      </c>
    </row>
    <row r="72" spans="1:12" ht="12.75">
      <c r="A72" s="3" t="s">
        <v>197</v>
      </c>
      <c r="B72" s="3"/>
      <c r="C72" s="3" t="s">
        <v>198</v>
      </c>
      <c r="D72" s="3" t="s">
        <v>199</v>
      </c>
      <c r="E72" s="3" t="s">
        <v>74</v>
      </c>
      <c r="F72" s="19">
        <v>18</v>
      </c>
      <c r="H72" s="19">
        <f>F72*G72*0.885011868429976</f>
        <v>0</v>
      </c>
      <c r="I72" s="19">
        <f>F72*G72*(1-0.885011868429976)</f>
        <v>0</v>
      </c>
      <c r="J72" s="19">
        <f t="shared" si="9"/>
        <v>0</v>
      </c>
      <c r="K72" s="19">
        <v>0.0059</v>
      </c>
      <c r="L72" s="19">
        <f>F72*K72</f>
        <v>0.1062</v>
      </c>
    </row>
    <row r="73" spans="1:12" ht="12.75">
      <c r="A73" s="20"/>
      <c r="B73" s="20"/>
      <c r="C73" s="21" t="s">
        <v>177</v>
      </c>
      <c r="D73" s="55" t="s">
        <v>200</v>
      </c>
      <c r="E73" s="55"/>
      <c r="F73" s="55"/>
      <c r="G73" s="55"/>
      <c r="H73" s="22">
        <f>SUM(H74:H74)</f>
        <v>0</v>
      </c>
      <c r="I73" s="22">
        <f>SUM(I74:I74)</f>
        <v>0</v>
      </c>
      <c r="J73" s="22">
        <f t="shared" si="9"/>
        <v>0</v>
      </c>
      <c r="K73" s="23"/>
      <c r="L73" s="22">
        <f>SUM(L74:L74)</f>
        <v>47.668307399999996</v>
      </c>
    </row>
    <row r="74" spans="1:12" ht="12.75">
      <c r="A74" s="3" t="s">
        <v>201</v>
      </c>
      <c r="B74" s="3"/>
      <c r="C74" s="3" t="s">
        <v>202</v>
      </c>
      <c r="D74" s="3" t="s">
        <v>203</v>
      </c>
      <c r="E74" s="3" t="s">
        <v>65</v>
      </c>
      <c r="F74" s="19">
        <v>157.29</v>
      </c>
      <c r="H74" s="19">
        <f>F74*G74*0.818164169915692</f>
        <v>0</v>
      </c>
      <c r="I74" s="19">
        <f>F74*G74*(1-0.818164169915692)</f>
        <v>0</v>
      </c>
      <c r="J74" s="19">
        <f t="shared" si="9"/>
        <v>0</v>
      </c>
      <c r="K74" s="19">
        <v>0.30306</v>
      </c>
      <c r="L74" s="19">
        <f>F74*K74</f>
        <v>47.668307399999996</v>
      </c>
    </row>
    <row r="75" spans="1:12" ht="12.75">
      <c r="A75" s="20"/>
      <c r="B75" s="20"/>
      <c r="C75" s="21" t="s">
        <v>204</v>
      </c>
      <c r="D75" s="55" t="s">
        <v>205</v>
      </c>
      <c r="E75" s="55"/>
      <c r="F75" s="55"/>
      <c r="G75" s="55"/>
      <c r="H75" s="22">
        <f>SUM(H76:H85)</f>
        <v>0</v>
      </c>
      <c r="I75" s="22">
        <f>SUM(I76:I85)</f>
        <v>0</v>
      </c>
      <c r="J75" s="22">
        <f t="shared" si="9"/>
        <v>0</v>
      </c>
      <c r="K75" s="23"/>
      <c r="L75" s="22">
        <f>SUM(L76:L85)</f>
        <v>583.2060089999999</v>
      </c>
    </row>
    <row r="76" spans="1:12" ht="12.75">
      <c r="A76" s="3" t="s">
        <v>206</v>
      </c>
      <c r="B76" s="3"/>
      <c r="C76" s="3" t="s">
        <v>207</v>
      </c>
      <c r="D76" s="3" t="s">
        <v>208</v>
      </c>
      <c r="E76" s="3" t="s">
        <v>65</v>
      </c>
      <c r="F76" s="19">
        <v>48</v>
      </c>
      <c r="H76" s="19">
        <f>F76*G76*0.864756787421128</f>
        <v>0</v>
      </c>
      <c r="I76" s="19">
        <f>F76*G76*(1-0.864756787421128)</f>
        <v>0</v>
      </c>
      <c r="J76" s="19">
        <f aca="true" t="shared" si="17" ref="J76:J107">H76+I76</f>
        <v>0</v>
      </c>
      <c r="K76" s="19">
        <v>0.38625</v>
      </c>
      <c r="L76" s="19">
        <f aca="true" t="shared" si="18" ref="L76:L85">F76*K76</f>
        <v>18.54</v>
      </c>
    </row>
    <row r="77" spans="1:12" ht="12.75">
      <c r="A77" s="3" t="s">
        <v>209</v>
      </c>
      <c r="B77" s="3"/>
      <c r="C77" s="3" t="s">
        <v>207</v>
      </c>
      <c r="D77" s="3" t="s">
        <v>210</v>
      </c>
      <c r="E77" s="3" t="s">
        <v>65</v>
      </c>
      <c r="F77" s="19">
        <v>438.9</v>
      </c>
      <c r="H77" s="19">
        <f>F77*G77*0.864757004428158</f>
        <v>0</v>
      </c>
      <c r="I77" s="19">
        <f>F77*G77*(1-0.864757004428158)</f>
        <v>0</v>
      </c>
      <c r="J77" s="19">
        <f t="shared" si="17"/>
        <v>0</v>
      </c>
      <c r="K77" s="19">
        <v>0.38625</v>
      </c>
      <c r="L77" s="19">
        <f t="shared" si="18"/>
        <v>169.52512499999997</v>
      </c>
    </row>
    <row r="78" spans="1:12" ht="12.75">
      <c r="A78" s="3" t="s">
        <v>211</v>
      </c>
      <c r="B78" s="3"/>
      <c r="C78" s="3" t="s">
        <v>207</v>
      </c>
      <c r="D78" s="3" t="s">
        <v>212</v>
      </c>
      <c r="E78" s="3" t="s">
        <v>65</v>
      </c>
      <c r="F78" s="19">
        <v>10.8</v>
      </c>
      <c r="H78" s="19">
        <f>F78*G78*0.864755244755245</f>
        <v>0</v>
      </c>
      <c r="I78" s="19">
        <f>F78*G78*(1-0.864755244755245)</f>
        <v>0</v>
      </c>
      <c r="J78" s="19">
        <f t="shared" si="17"/>
        <v>0</v>
      </c>
      <c r="K78" s="19">
        <v>0.38625</v>
      </c>
      <c r="L78" s="19">
        <f t="shared" si="18"/>
        <v>4.1715</v>
      </c>
    </row>
    <row r="79" spans="1:12" ht="12.75">
      <c r="A79" s="3" t="s">
        <v>204</v>
      </c>
      <c r="B79" s="3"/>
      <c r="C79" s="3" t="s">
        <v>213</v>
      </c>
      <c r="D79" s="3" t="s">
        <v>214</v>
      </c>
      <c r="E79" s="3" t="s">
        <v>65</v>
      </c>
      <c r="F79" s="19">
        <v>454</v>
      </c>
      <c r="H79" s="19">
        <f>F79*G79*0.608081600627697</f>
        <v>0</v>
      </c>
      <c r="I79" s="19">
        <f>F79*G79*(1-0.608081600627697)</f>
        <v>0</v>
      </c>
      <c r="J79" s="19">
        <f t="shared" si="17"/>
        <v>0</v>
      </c>
      <c r="K79" s="19">
        <v>0.08803</v>
      </c>
      <c r="L79" s="19">
        <f t="shared" si="18"/>
        <v>39.96562</v>
      </c>
    </row>
    <row r="80" spans="1:12" ht="12.75">
      <c r="A80" s="3" t="s">
        <v>215</v>
      </c>
      <c r="B80" s="3"/>
      <c r="C80" s="3" t="s">
        <v>216</v>
      </c>
      <c r="D80" s="3" t="s">
        <v>217</v>
      </c>
      <c r="E80" s="3" t="s">
        <v>65</v>
      </c>
      <c r="F80" s="19">
        <v>48</v>
      </c>
      <c r="H80" s="19">
        <f>F80*G80*0.688949275362319</f>
        <v>0</v>
      </c>
      <c r="I80" s="19">
        <f>F80*G80*(1-0.688949275362319)</f>
        <v>0</v>
      </c>
      <c r="J80" s="19">
        <f t="shared" si="17"/>
        <v>0</v>
      </c>
      <c r="K80" s="19">
        <v>0.1082</v>
      </c>
      <c r="L80" s="19">
        <f t="shared" si="18"/>
        <v>5.1936</v>
      </c>
    </row>
    <row r="81" spans="1:12" ht="12.75">
      <c r="A81" s="3" t="s">
        <v>218</v>
      </c>
      <c r="B81" s="3"/>
      <c r="C81" s="3" t="s">
        <v>219</v>
      </c>
      <c r="D81" s="3" t="s">
        <v>220</v>
      </c>
      <c r="E81" s="3" t="s">
        <v>65</v>
      </c>
      <c r="F81" s="19">
        <v>454</v>
      </c>
      <c r="H81" s="19">
        <f>F81*G81*0.837661374091111</f>
        <v>0</v>
      </c>
      <c r="I81" s="19">
        <f>F81*G81*(1-0.837661374091111)</f>
        <v>0</v>
      </c>
      <c r="J81" s="19">
        <f t="shared" si="17"/>
        <v>0</v>
      </c>
      <c r="K81" s="19">
        <v>0.26959</v>
      </c>
      <c r="L81" s="19">
        <f t="shared" si="18"/>
        <v>122.39386</v>
      </c>
    </row>
    <row r="82" spans="1:12" ht="12.75">
      <c r="A82" s="3" t="s">
        <v>221</v>
      </c>
      <c r="B82" s="3"/>
      <c r="C82" s="3" t="s">
        <v>222</v>
      </c>
      <c r="D82" s="3" t="s">
        <v>223</v>
      </c>
      <c r="E82" s="3" t="s">
        <v>65</v>
      </c>
      <c r="F82" s="19">
        <v>430</v>
      </c>
      <c r="H82" s="19">
        <f>F82*G82*0.859824046920821</f>
        <v>0</v>
      </c>
      <c r="I82" s="19">
        <f>F82*G82*(1-0.859824046920821)</f>
        <v>0</v>
      </c>
      <c r="J82" s="19">
        <f t="shared" si="17"/>
        <v>0</v>
      </c>
      <c r="K82" s="19">
        <v>0.35028</v>
      </c>
      <c r="L82" s="19">
        <f t="shared" si="18"/>
        <v>150.6204</v>
      </c>
    </row>
    <row r="83" spans="1:12" ht="12.75">
      <c r="A83" s="3" t="s">
        <v>224</v>
      </c>
      <c r="B83" s="3"/>
      <c r="C83" s="3" t="s">
        <v>225</v>
      </c>
      <c r="D83" s="3" t="s">
        <v>226</v>
      </c>
      <c r="E83" s="3" t="s">
        <v>65</v>
      </c>
      <c r="F83" s="19">
        <v>10.8</v>
      </c>
      <c r="H83" s="19">
        <f>F83*G83*0.86545634254597</f>
        <v>0</v>
      </c>
      <c r="I83" s="19">
        <f>F83*G83*(1-0.86545634254597)</f>
        <v>0</v>
      </c>
      <c r="J83" s="19">
        <f t="shared" si="17"/>
        <v>0</v>
      </c>
      <c r="K83" s="19">
        <v>0.4108</v>
      </c>
      <c r="L83" s="19">
        <f t="shared" si="18"/>
        <v>4.436640000000001</v>
      </c>
    </row>
    <row r="84" spans="1:12" ht="12.75">
      <c r="A84" s="3" t="s">
        <v>227</v>
      </c>
      <c r="B84" s="3"/>
      <c r="C84" s="3" t="s">
        <v>228</v>
      </c>
      <c r="D84" s="3" t="s">
        <v>229</v>
      </c>
      <c r="E84" s="3" t="s">
        <v>65</v>
      </c>
      <c r="F84" s="19">
        <v>10.8</v>
      </c>
      <c r="H84" s="19">
        <f>F84*G84*0.467337591764522</f>
        <v>0</v>
      </c>
      <c r="I84" s="19">
        <f>F84*G84*(1-0.467337591764522)</f>
        <v>0</v>
      </c>
      <c r="J84" s="19">
        <f t="shared" si="17"/>
        <v>0</v>
      </c>
      <c r="K84" s="19">
        <v>0.15508</v>
      </c>
      <c r="L84" s="19">
        <f t="shared" si="18"/>
        <v>1.6748640000000001</v>
      </c>
    </row>
    <row r="85" spans="1:12" ht="12.75">
      <c r="A85" s="3" t="s">
        <v>230</v>
      </c>
      <c r="B85" s="3"/>
      <c r="C85" s="3" t="s">
        <v>231</v>
      </c>
      <c r="D85" s="3" t="s">
        <v>232</v>
      </c>
      <c r="E85" s="3" t="s">
        <v>65</v>
      </c>
      <c r="F85" s="19">
        <v>430</v>
      </c>
      <c r="H85" s="19">
        <f>F85*G85*0.486461085145296</f>
        <v>0</v>
      </c>
      <c r="I85" s="19">
        <f>F85*G85*(1-0.486461085145296)</f>
        <v>0</v>
      </c>
      <c r="J85" s="19">
        <f t="shared" si="17"/>
        <v>0</v>
      </c>
      <c r="K85" s="19">
        <v>0.15508</v>
      </c>
      <c r="L85" s="19">
        <f t="shared" si="18"/>
        <v>66.6844</v>
      </c>
    </row>
    <row r="86" spans="1:12" ht="12.75">
      <c r="A86" s="20"/>
      <c r="B86" s="20"/>
      <c r="C86" s="21" t="s">
        <v>215</v>
      </c>
      <c r="D86" s="55" t="s">
        <v>233</v>
      </c>
      <c r="E86" s="55"/>
      <c r="F86" s="55"/>
      <c r="G86" s="55"/>
      <c r="H86" s="22">
        <f>SUM(H87:H88)</f>
        <v>0</v>
      </c>
      <c r="I86" s="22">
        <f>SUM(I87:I88)</f>
        <v>0</v>
      </c>
      <c r="J86" s="22">
        <f t="shared" si="17"/>
        <v>0</v>
      </c>
      <c r="K86" s="23"/>
      <c r="L86" s="22">
        <f>SUM(L87:L88)</f>
        <v>44.701527999999996</v>
      </c>
    </row>
    <row r="87" spans="1:12" ht="12.75">
      <c r="A87" s="3" t="s">
        <v>234</v>
      </c>
      <c r="B87" s="3"/>
      <c r="C87" s="3" t="s">
        <v>235</v>
      </c>
      <c r="D87" s="3" t="s">
        <v>236</v>
      </c>
      <c r="E87" s="3" t="s">
        <v>65</v>
      </c>
      <c r="F87" s="19">
        <v>10.8</v>
      </c>
      <c r="H87" s="19">
        <f>F87*G87*0.518920494324644</f>
        <v>0</v>
      </c>
      <c r="I87" s="19">
        <f>F87*G87*(1-0.518920494324644)</f>
        <v>0</v>
      </c>
      <c r="J87" s="19">
        <f t="shared" si="17"/>
        <v>0</v>
      </c>
      <c r="K87" s="19">
        <v>0.10141</v>
      </c>
      <c r="L87" s="19">
        <f>F87*K87</f>
        <v>1.095228</v>
      </c>
    </row>
    <row r="88" spans="1:12" ht="12.75">
      <c r="A88" s="3" t="s">
        <v>237</v>
      </c>
      <c r="B88" s="3"/>
      <c r="C88" s="3" t="s">
        <v>238</v>
      </c>
      <c r="D88" s="3" t="s">
        <v>239</v>
      </c>
      <c r="E88" s="3" t="s">
        <v>65</v>
      </c>
      <c r="F88" s="19">
        <v>430</v>
      </c>
      <c r="H88" s="19">
        <f>F88*G88*0.560578060319338</f>
        <v>0</v>
      </c>
      <c r="I88" s="19">
        <f>F88*G88*(1-0.560578060319338)</f>
        <v>0</v>
      </c>
      <c r="J88" s="19">
        <f t="shared" si="17"/>
        <v>0</v>
      </c>
      <c r="K88" s="19">
        <v>0.10141</v>
      </c>
      <c r="L88" s="19">
        <f>F88*K88</f>
        <v>43.6063</v>
      </c>
    </row>
    <row r="89" spans="1:12" ht="12.75">
      <c r="A89" s="20"/>
      <c r="B89" s="20"/>
      <c r="C89" s="21" t="s">
        <v>221</v>
      </c>
      <c r="D89" s="55" t="s">
        <v>240</v>
      </c>
      <c r="E89" s="55"/>
      <c r="F89" s="55"/>
      <c r="G89" s="55"/>
      <c r="H89" s="22">
        <f>SUM(H90:H91)</f>
        <v>0</v>
      </c>
      <c r="I89" s="22">
        <f>SUM(I90:I91)</f>
        <v>0</v>
      </c>
      <c r="J89" s="22">
        <f t="shared" si="17"/>
        <v>0</v>
      </c>
      <c r="K89" s="23"/>
      <c r="L89" s="22">
        <f>SUM(L90:L91)</f>
        <v>94.0291</v>
      </c>
    </row>
    <row r="90" spans="1:12" ht="12.75">
      <c r="A90" s="3" t="s">
        <v>241</v>
      </c>
      <c r="B90" s="3"/>
      <c r="C90" s="3" t="s">
        <v>242</v>
      </c>
      <c r="D90" s="3" t="s">
        <v>243</v>
      </c>
      <c r="E90" s="3" t="s">
        <v>65</v>
      </c>
      <c r="F90" s="19">
        <v>48</v>
      </c>
      <c r="H90" s="19">
        <f>F90*G90*0.142410093383668</f>
        <v>0</v>
      </c>
      <c r="I90" s="19">
        <f>F90*G90*(1-0.142410093383668)</f>
        <v>0</v>
      </c>
      <c r="J90" s="19">
        <f t="shared" si="17"/>
        <v>0</v>
      </c>
      <c r="K90" s="19">
        <v>0.05545</v>
      </c>
      <c r="L90" s="19">
        <f>F90*K90</f>
        <v>2.6616</v>
      </c>
    </row>
    <row r="91" spans="1:12" ht="12.75">
      <c r="A91" s="3" t="s">
        <v>244</v>
      </c>
      <c r="B91" s="3"/>
      <c r="C91" s="3" t="s">
        <v>245</v>
      </c>
      <c r="D91" s="3" t="s">
        <v>246</v>
      </c>
      <c r="E91" s="3" t="s">
        <v>65</v>
      </c>
      <c r="F91" s="19">
        <v>454</v>
      </c>
      <c r="H91" s="19">
        <f>F91*G91*0.868014432676367</f>
        <v>0</v>
      </c>
      <c r="I91" s="19">
        <f>F91*G91*(1-0.868014432676367)</f>
        <v>0</v>
      </c>
      <c r="J91" s="19">
        <f t="shared" si="17"/>
        <v>0</v>
      </c>
      <c r="K91" s="19">
        <v>0.20125</v>
      </c>
      <c r="L91" s="19">
        <f>F91*K91</f>
        <v>91.3675</v>
      </c>
    </row>
    <row r="92" spans="1:12" ht="12.75">
      <c r="A92" s="20"/>
      <c r="B92" s="20"/>
      <c r="C92" s="21" t="s">
        <v>247</v>
      </c>
      <c r="D92" s="55" t="s">
        <v>248</v>
      </c>
      <c r="E92" s="55"/>
      <c r="F92" s="55"/>
      <c r="G92" s="55"/>
      <c r="H92" s="22">
        <f>SUM(H93:H94)</f>
        <v>0</v>
      </c>
      <c r="I92" s="22">
        <f>SUM(I93:I94)</f>
        <v>0</v>
      </c>
      <c r="J92" s="22">
        <f t="shared" si="17"/>
        <v>0</v>
      </c>
      <c r="K92" s="23"/>
      <c r="L92" s="22">
        <f>SUM(L93:L94)</f>
        <v>0.38005</v>
      </c>
    </row>
    <row r="93" spans="1:12" ht="12.75">
      <c r="A93" s="3" t="s">
        <v>249</v>
      </c>
      <c r="B93" s="3"/>
      <c r="C93" s="3" t="s">
        <v>250</v>
      </c>
      <c r="D93" s="3" t="s">
        <v>251</v>
      </c>
      <c r="E93" s="3" t="s">
        <v>74</v>
      </c>
      <c r="F93" s="19">
        <v>11</v>
      </c>
      <c r="H93" s="19">
        <f>F93*G93*0.885666480758505</f>
        <v>0</v>
      </c>
      <c r="I93" s="19">
        <f>F93*G93*(1-0.885666480758505)</f>
        <v>0</v>
      </c>
      <c r="J93" s="19">
        <f t="shared" si="17"/>
        <v>0</v>
      </c>
      <c r="K93" s="19">
        <v>0.00327</v>
      </c>
      <c r="L93" s="19">
        <f>F93*K93</f>
        <v>0.03597</v>
      </c>
    </row>
    <row r="94" spans="1:12" ht="12.75">
      <c r="A94" s="3" t="s">
        <v>252</v>
      </c>
      <c r="B94" s="3"/>
      <c r="C94" s="3" t="s">
        <v>253</v>
      </c>
      <c r="D94" s="3" t="s">
        <v>254</v>
      </c>
      <c r="E94" s="3" t="s">
        <v>74</v>
      </c>
      <c r="F94" s="19">
        <v>68</v>
      </c>
      <c r="H94" s="19">
        <f>F94*G94*0.911799386840657</f>
        <v>0</v>
      </c>
      <c r="I94" s="19">
        <f>F94*G94*(1-0.911799386840657)</f>
        <v>0</v>
      </c>
      <c r="J94" s="19">
        <f t="shared" si="17"/>
        <v>0</v>
      </c>
      <c r="K94" s="19">
        <v>0.00506</v>
      </c>
      <c r="L94" s="19">
        <f>F94*K94</f>
        <v>0.34408</v>
      </c>
    </row>
    <row r="95" spans="1:12" ht="12.75">
      <c r="A95" s="20"/>
      <c r="B95" s="20"/>
      <c r="C95" s="21" t="s">
        <v>255</v>
      </c>
      <c r="D95" s="55" t="s">
        <v>256</v>
      </c>
      <c r="E95" s="55"/>
      <c r="F95" s="55"/>
      <c r="G95" s="55"/>
      <c r="H95" s="22">
        <f>SUM(H96:H107)</f>
        <v>0</v>
      </c>
      <c r="I95" s="22">
        <f>SUM(I96:I107)</f>
        <v>0</v>
      </c>
      <c r="J95" s="22">
        <f t="shared" si="17"/>
        <v>0</v>
      </c>
      <c r="K95" s="23"/>
      <c r="L95" s="22">
        <f>SUM(L96:L107)</f>
        <v>13.35868</v>
      </c>
    </row>
    <row r="96" spans="1:12" ht="12.75">
      <c r="A96" s="3" t="s">
        <v>257</v>
      </c>
      <c r="B96" s="3"/>
      <c r="C96" s="3" t="s">
        <v>258</v>
      </c>
      <c r="D96" s="3" t="s">
        <v>259</v>
      </c>
      <c r="E96" s="3" t="s">
        <v>74</v>
      </c>
      <c r="F96" s="19">
        <v>79</v>
      </c>
      <c r="H96" s="19">
        <f>F96*G96*0.0697020798201236</f>
        <v>0</v>
      </c>
      <c r="I96" s="19">
        <f>F96*G96*(1-0.0697020798201236)</f>
        <v>0</v>
      </c>
      <c r="J96" s="19">
        <f t="shared" si="17"/>
        <v>0</v>
      </c>
      <c r="K96" s="19">
        <v>0</v>
      </c>
      <c r="L96" s="19">
        <f aca="true" t="shared" si="19" ref="L96:L107">F96*K96</f>
        <v>0</v>
      </c>
    </row>
    <row r="97" spans="1:12" ht="12.75">
      <c r="A97" s="3" t="s">
        <v>260</v>
      </c>
      <c r="B97" s="3"/>
      <c r="C97" s="3" t="s">
        <v>261</v>
      </c>
      <c r="D97" s="3" t="s">
        <v>262</v>
      </c>
      <c r="E97" s="3" t="s">
        <v>263</v>
      </c>
      <c r="F97" s="19">
        <v>2</v>
      </c>
      <c r="H97" s="19">
        <f>F97*G97*0.151108486767942</f>
        <v>0</v>
      </c>
      <c r="I97" s="19">
        <f>F97*G97*(1-0.151108486767942)</f>
        <v>0</v>
      </c>
      <c r="J97" s="19">
        <f t="shared" si="17"/>
        <v>0</v>
      </c>
      <c r="K97" s="19">
        <v>0.00013</v>
      </c>
      <c r="L97" s="19">
        <f t="shared" si="19"/>
        <v>0.00026</v>
      </c>
    </row>
    <row r="98" spans="1:12" ht="12.75">
      <c r="A98" s="3" t="s">
        <v>264</v>
      </c>
      <c r="B98" s="3"/>
      <c r="C98" s="3" t="s">
        <v>265</v>
      </c>
      <c r="D98" s="3" t="s">
        <v>266</v>
      </c>
      <c r="E98" s="3" t="s">
        <v>55</v>
      </c>
      <c r="F98" s="19">
        <v>7</v>
      </c>
      <c r="H98" s="19">
        <f>F98*G98*0</f>
        <v>0</v>
      </c>
      <c r="I98" s="19">
        <f>F98*G98*(1-0)</f>
        <v>0</v>
      </c>
      <c r="J98" s="19">
        <f t="shared" si="17"/>
        <v>0</v>
      </c>
      <c r="K98" s="19">
        <v>0</v>
      </c>
      <c r="L98" s="19">
        <f t="shared" si="19"/>
        <v>0</v>
      </c>
    </row>
    <row r="99" spans="1:12" ht="12.75">
      <c r="A99" s="3" t="s">
        <v>267</v>
      </c>
      <c r="B99" s="3"/>
      <c r="C99" s="3" t="s">
        <v>268</v>
      </c>
      <c r="D99" s="3" t="s">
        <v>269</v>
      </c>
      <c r="E99" s="3" t="s">
        <v>55</v>
      </c>
      <c r="F99" s="19">
        <v>2</v>
      </c>
      <c r="H99" s="19">
        <f>F99*G99*0</f>
        <v>0</v>
      </c>
      <c r="I99" s="19">
        <f>F99*G99*(1-0)</f>
        <v>0</v>
      </c>
      <c r="J99" s="19">
        <f t="shared" si="17"/>
        <v>0</v>
      </c>
      <c r="K99" s="19">
        <v>0</v>
      </c>
      <c r="L99" s="19">
        <f t="shared" si="19"/>
        <v>0</v>
      </c>
    </row>
    <row r="100" spans="1:12" ht="12.75">
      <c r="A100" s="3" t="s">
        <v>270</v>
      </c>
      <c r="B100" s="3"/>
      <c r="C100" s="3" t="s">
        <v>271</v>
      </c>
      <c r="D100" s="3" t="s">
        <v>272</v>
      </c>
      <c r="E100" s="3" t="s">
        <v>55</v>
      </c>
      <c r="F100" s="19">
        <v>3</v>
      </c>
      <c r="H100" s="19">
        <f>F100*G100*0</f>
        <v>0</v>
      </c>
      <c r="I100" s="19">
        <f>F100*G100*(1-0)</f>
        <v>0</v>
      </c>
      <c r="J100" s="19">
        <f t="shared" si="17"/>
        <v>0</v>
      </c>
      <c r="K100" s="19">
        <v>0</v>
      </c>
      <c r="L100" s="19">
        <f t="shared" si="19"/>
        <v>0</v>
      </c>
    </row>
    <row r="101" spans="1:12" ht="12.75">
      <c r="A101" s="3" t="s">
        <v>273</v>
      </c>
      <c r="B101" s="3"/>
      <c r="C101" s="3" t="s">
        <v>274</v>
      </c>
      <c r="D101" s="3" t="s">
        <v>275</v>
      </c>
      <c r="E101" s="3" t="s">
        <v>55</v>
      </c>
      <c r="F101" s="19">
        <v>3</v>
      </c>
      <c r="H101" s="19">
        <f>F101*G101*0</f>
        <v>0</v>
      </c>
      <c r="I101" s="19">
        <f>F101*G101*(1-0)</f>
        <v>0</v>
      </c>
      <c r="J101" s="19">
        <f t="shared" si="17"/>
        <v>0</v>
      </c>
      <c r="K101" s="19">
        <v>0</v>
      </c>
      <c r="L101" s="19">
        <f t="shared" si="19"/>
        <v>0</v>
      </c>
    </row>
    <row r="102" spans="1:12" ht="12.75">
      <c r="A102" s="3" t="s">
        <v>276</v>
      </c>
      <c r="B102" s="3"/>
      <c r="C102" s="3" t="s">
        <v>277</v>
      </c>
      <c r="D102" s="3" t="s">
        <v>278</v>
      </c>
      <c r="E102" s="3" t="s">
        <v>55</v>
      </c>
      <c r="F102" s="19">
        <v>2</v>
      </c>
      <c r="H102" s="19">
        <f>F102*G102*0.846998910475351</f>
        <v>0</v>
      </c>
      <c r="I102" s="19">
        <f>F102*G102*(1-0.846998910475351)</f>
        <v>0</v>
      </c>
      <c r="J102" s="19">
        <f t="shared" si="17"/>
        <v>0</v>
      </c>
      <c r="K102" s="19">
        <v>2.92917</v>
      </c>
      <c r="L102" s="19">
        <f t="shared" si="19"/>
        <v>5.85834</v>
      </c>
    </row>
    <row r="103" spans="1:12" ht="12.75">
      <c r="A103" s="3" t="s">
        <v>279</v>
      </c>
      <c r="B103" s="3"/>
      <c r="C103" s="3" t="s">
        <v>280</v>
      </c>
      <c r="D103" s="3" t="s">
        <v>281</v>
      </c>
      <c r="E103" s="3" t="s">
        <v>55</v>
      </c>
      <c r="F103" s="19">
        <v>2</v>
      </c>
      <c r="H103" s="19">
        <f>F103*G103*0.806794998126379</f>
        <v>0</v>
      </c>
      <c r="I103" s="19">
        <f>F103*G103*(1-0.806794998126379)</f>
        <v>0</v>
      </c>
      <c r="J103" s="19">
        <f t="shared" si="17"/>
        <v>0</v>
      </c>
      <c r="K103" s="19">
        <v>0.11936</v>
      </c>
      <c r="L103" s="19">
        <f t="shared" si="19"/>
        <v>0.23872</v>
      </c>
    </row>
    <row r="104" spans="1:12" ht="12.75">
      <c r="A104" s="3" t="s">
        <v>282</v>
      </c>
      <c r="B104" s="3"/>
      <c r="C104" s="3" t="s">
        <v>283</v>
      </c>
      <c r="D104" s="3" t="s">
        <v>284</v>
      </c>
      <c r="E104" s="3" t="s">
        <v>55</v>
      </c>
      <c r="F104" s="19">
        <v>3</v>
      </c>
      <c r="H104" s="19">
        <f>F104*G104*0.0320285748022199</f>
        <v>0</v>
      </c>
      <c r="I104" s="19">
        <f>F104*G104*(1-0.0320285748022199)</f>
        <v>0</v>
      </c>
      <c r="J104" s="19">
        <f t="shared" si="17"/>
        <v>0</v>
      </c>
      <c r="K104" s="19">
        <v>0.009</v>
      </c>
      <c r="L104" s="19">
        <f t="shared" si="19"/>
        <v>0.026999999999999996</v>
      </c>
    </row>
    <row r="105" spans="1:12" ht="12.75">
      <c r="A105" s="3" t="s">
        <v>285</v>
      </c>
      <c r="B105" s="3"/>
      <c r="C105" s="3" t="s">
        <v>283</v>
      </c>
      <c r="D105" s="3" t="s">
        <v>284</v>
      </c>
      <c r="E105" s="3" t="s">
        <v>55</v>
      </c>
      <c r="F105" s="19">
        <v>3</v>
      </c>
      <c r="H105" s="19">
        <f>F105*G105*0.0320285748022199</f>
        <v>0</v>
      </c>
      <c r="I105" s="19">
        <f>F105*G105*(1-0.0320285748022199)</f>
        <v>0</v>
      </c>
      <c r="J105" s="19">
        <f t="shared" si="17"/>
        <v>0</v>
      </c>
      <c r="K105" s="19">
        <v>0.009</v>
      </c>
      <c r="L105" s="19">
        <f t="shared" si="19"/>
        <v>0.026999999999999996</v>
      </c>
    </row>
    <row r="106" spans="1:12" ht="12.75">
      <c r="A106" s="3" t="s">
        <v>286</v>
      </c>
      <c r="B106" s="3"/>
      <c r="C106" s="3" t="s">
        <v>287</v>
      </c>
      <c r="D106" s="3" t="s">
        <v>288</v>
      </c>
      <c r="E106" s="3" t="s">
        <v>55</v>
      </c>
      <c r="F106" s="19">
        <v>2</v>
      </c>
      <c r="H106" s="19">
        <f>F106*G106*0.526648632401563</f>
        <v>0</v>
      </c>
      <c r="I106" s="19">
        <f>F106*G106*(1-0.526648632401563)</f>
        <v>0</v>
      </c>
      <c r="J106" s="19">
        <f t="shared" si="17"/>
        <v>0</v>
      </c>
      <c r="K106" s="19">
        <v>0.31508</v>
      </c>
      <c r="L106" s="19">
        <f t="shared" si="19"/>
        <v>0.63016</v>
      </c>
    </row>
    <row r="107" spans="1:12" ht="12.75">
      <c r="A107" s="3" t="s">
        <v>289</v>
      </c>
      <c r="B107" s="3"/>
      <c r="C107" s="3" t="s">
        <v>290</v>
      </c>
      <c r="D107" s="3" t="s">
        <v>291</v>
      </c>
      <c r="E107" s="3" t="s">
        <v>51</v>
      </c>
      <c r="F107" s="19">
        <v>2.7</v>
      </c>
      <c r="H107" s="19">
        <f>F107*G107*0.891333474270308</f>
        <v>0</v>
      </c>
      <c r="I107" s="19">
        <f>F107*G107*(1-0.891333474270308)</f>
        <v>0</v>
      </c>
      <c r="J107" s="19">
        <f t="shared" si="17"/>
        <v>0</v>
      </c>
      <c r="K107" s="19">
        <v>2.436</v>
      </c>
      <c r="L107" s="19">
        <f t="shared" si="19"/>
        <v>6.5772</v>
      </c>
    </row>
    <row r="108" spans="1:12" ht="12.75">
      <c r="A108" s="20"/>
      <c r="B108" s="20"/>
      <c r="C108" s="21" t="s">
        <v>292</v>
      </c>
      <c r="D108" s="55" t="s">
        <v>293</v>
      </c>
      <c r="E108" s="55"/>
      <c r="F108" s="55"/>
      <c r="G108" s="55"/>
      <c r="H108" s="22">
        <f>SUM(H109:H109)</f>
        <v>0</v>
      </c>
      <c r="I108" s="22">
        <f>SUM(I109:I109)</f>
        <v>0</v>
      </c>
      <c r="J108" s="22">
        <f aca="true" t="shared" si="20" ref="J108:J139">H108+I108</f>
        <v>0</v>
      </c>
      <c r="K108" s="23"/>
      <c r="L108" s="22">
        <f>SUM(L109:L109)</f>
        <v>0</v>
      </c>
    </row>
    <row r="109" spans="1:12" ht="12.75">
      <c r="A109" s="3" t="s">
        <v>294</v>
      </c>
      <c r="B109" s="3"/>
      <c r="C109" s="3" t="s">
        <v>295</v>
      </c>
      <c r="D109" s="3" t="s">
        <v>296</v>
      </c>
      <c r="E109" s="3" t="s">
        <v>297</v>
      </c>
      <c r="F109" s="19">
        <v>5</v>
      </c>
      <c r="H109" s="19">
        <f>F109*G109*0</f>
        <v>0</v>
      </c>
      <c r="I109" s="19">
        <f>F109*G109*(1-0)</f>
        <v>0</v>
      </c>
      <c r="J109" s="19">
        <f t="shared" si="20"/>
        <v>0</v>
      </c>
      <c r="K109" s="19">
        <v>0</v>
      </c>
      <c r="L109" s="19">
        <f>F109*K109</f>
        <v>0</v>
      </c>
    </row>
    <row r="110" spans="1:12" ht="12.75">
      <c r="A110" s="20"/>
      <c r="B110" s="20"/>
      <c r="C110" s="21" t="s">
        <v>298</v>
      </c>
      <c r="D110" s="55" t="s">
        <v>299</v>
      </c>
      <c r="E110" s="55"/>
      <c r="F110" s="55"/>
      <c r="G110" s="55"/>
      <c r="H110" s="22">
        <f>SUM(H111:H122)</f>
        <v>0</v>
      </c>
      <c r="I110" s="22">
        <f>SUM(I111:I122)</f>
        <v>0</v>
      </c>
      <c r="J110" s="22">
        <f t="shared" si="20"/>
        <v>0</v>
      </c>
      <c r="K110" s="23"/>
      <c r="L110" s="22">
        <f>SUM(L111:L122)</f>
        <v>104.32688900000002</v>
      </c>
    </row>
    <row r="111" spans="1:12" ht="12.75">
      <c r="A111" s="3" t="s">
        <v>300</v>
      </c>
      <c r="B111" s="3"/>
      <c r="C111" s="3" t="s">
        <v>301</v>
      </c>
      <c r="D111" s="3" t="s">
        <v>302</v>
      </c>
      <c r="E111" s="3" t="s">
        <v>55</v>
      </c>
      <c r="F111" s="19">
        <v>3</v>
      </c>
      <c r="H111" s="19">
        <f>F111*G111*0.514427315399462</f>
        <v>0</v>
      </c>
      <c r="I111" s="19">
        <f>F111*G111*(1-0.514427315399462)</f>
        <v>0</v>
      </c>
      <c r="J111" s="19">
        <f t="shared" si="20"/>
        <v>0</v>
      </c>
      <c r="K111" s="19">
        <v>0.246</v>
      </c>
      <c r="L111" s="19">
        <f aca="true" t="shared" si="21" ref="L111:L122">F111*K111</f>
        <v>0.738</v>
      </c>
    </row>
    <row r="112" spans="1:12" ht="12.75">
      <c r="A112" s="3" t="s">
        <v>303</v>
      </c>
      <c r="B112" s="3"/>
      <c r="C112" s="3" t="s">
        <v>304</v>
      </c>
      <c r="D112" s="3" t="s">
        <v>305</v>
      </c>
      <c r="E112" s="3" t="s">
        <v>74</v>
      </c>
      <c r="F112" s="19">
        <v>207</v>
      </c>
      <c r="H112" s="19">
        <f>F112*G112*0.606932635709614</f>
        <v>0</v>
      </c>
      <c r="I112" s="19">
        <f>F112*G112*(1-0.606932635709614)</f>
        <v>0</v>
      </c>
      <c r="J112" s="19">
        <f t="shared" si="20"/>
        <v>0</v>
      </c>
      <c r="K112" s="19">
        <v>0</v>
      </c>
      <c r="L112" s="19">
        <f t="shared" si="21"/>
        <v>0</v>
      </c>
    </row>
    <row r="113" spans="1:12" ht="12.75">
      <c r="A113" s="3" t="s">
        <v>306</v>
      </c>
      <c r="B113" s="3"/>
      <c r="C113" s="3" t="s">
        <v>304</v>
      </c>
      <c r="D113" s="3" t="s">
        <v>307</v>
      </c>
      <c r="E113" s="3" t="s">
        <v>74</v>
      </c>
      <c r="F113" s="19">
        <v>167</v>
      </c>
      <c r="H113" s="19">
        <f>F113*G113*0.606932635709614</f>
        <v>0</v>
      </c>
      <c r="I113" s="19">
        <f>F113*G113*(1-0.606932635709614)</f>
        <v>0</v>
      </c>
      <c r="J113" s="19">
        <f t="shared" si="20"/>
        <v>0</v>
      </c>
      <c r="K113" s="19">
        <v>9E-05</v>
      </c>
      <c r="L113" s="19">
        <f t="shared" si="21"/>
        <v>0.015030000000000002</v>
      </c>
    </row>
    <row r="114" spans="1:12" ht="12.75">
      <c r="A114" s="3" t="s">
        <v>308</v>
      </c>
      <c r="B114" s="3"/>
      <c r="C114" s="3" t="s">
        <v>309</v>
      </c>
      <c r="D114" s="3" t="s">
        <v>310</v>
      </c>
      <c r="E114" s="3" t="s">
        <v>74</v>
      </c>
      <c r="F114" s="19">
        <v>167</v>
      </c>
      <c r="H114" s="19">
        <f>F114*G114*0.119533527696793</f>
        <v>0</v>
      </c>
      <c r="I114" s="19">
        <f>F114*G114*(1-0.119533527696793)</f>
        <v>0</v>
      </c>
      <c r="J114" s="19">
        <f t="shared" si="20"/>
        <v>0</v>
      </c>
      <c r="K114" s="19">
        <v>0</v>
      </c>
      <c r="L114" s="19">
        <f t="shared" si="21"/>
        <v>0</v>
      </c>
    </row>
    <row r="115" spans="1:12" ht="12.75">
      <c r="A115" s="3" t="s">
        <v>311</v>
      </c>
      <c r="B115" s="3"/>
      <c r="C115" s="3" t="s">
        <v>309</v>
      </c>
      <c r="D115" s="3" t="s">
        <v>312</v>
      </c>
      <c r="E115" s="3" t="s">
        <v>74</v>
      </c>
      <c r="F115" s="19">
        <v>220</v>
      </c>
      <c r="H115" s="19">
        <f>F115*G115*0.119533527696793</f>
        <v>0</v>
      </c>
      <c r="I115" s="19">
        <f>F115*G115*(1-0.119533527696793)</f>
        <v>0</v>
      </c>
      <c r="J115" s="19">
        <f t="shared" si="20"/>
        <v>0</v>
      </c>
      <c r="K115" s="19">
        <v>0</v>
      </c>
      <c r="L115" s="19">
        <f t="shared" si="21"/>
        <v>0</v>
      </c>
    </row>
    <row r="116" spans="1:12" ht="12.75">
      <c r="A116" s="3" t="s">
        <v>247</v>
      </c>
      <c r="B116" s="3"/>
      <c r="C116" s="3" t="s">
        <v>309</v>
      </c>
      <c r="D116" s="3" t="s">
        <v>313</v>
      </c>
      <c r="E116" s="3" t="s">
        <v>74</v>
      </c>
      <c r="F116" s="19">
        <v>10</v>
      </c>
      <c r="H116" s="19">
        <f>F116*G116*0.119533527696793</f>
        <v>0</v>
      </c>
      <c r="I116" s="19">
        <f>F116*G116*(1-0.119533527696793)</f>
        <v>0</v>
      </c>
      <c r="J116" s="19">
        <f t="shared" si="20"/>
        <v>0</v>
      </c>
      <c r="K116" s="19">
        <v>0</v>
      </c>
      <c r="L116" s="19">
        <f t="shared" si="21"/>
        <v>0</v>
      </c>
    </row>
    <row r="117" spans="1:12" ht="12.75">
      <c r="A117" s="3" t="s">
        <v>314</v>
      </c>
      <c r="B117" s="3"/>
      <c r="C117" s="3" t="s">
        <v>315</v>
      </c>
      <c r="D117" s="3" t="s">
        <v>316</v>
      </c>
      <c r="E117" s="3" t="s">
        <v>74</v>
      </c>
      <c r="F117" s="19">
        <v>145</v>
      </c>
      <c r="H117" s="19">
        <f>F117*G117*0.869437873155345</f>
        <v>0</v>
      </c>
      <c r="I117" s="19">
        <f>F117*G117*(1-0.869437873155345)</f>
        <v>0</v>
      </c>
      <c r="J117" s="19">
        <f t="shared" si="20"/>
        <v>0</v>
      </c>
      <c r="K117" s="19">
        <v>0.10036</v>
      </c>
      <c r="L117" s="19">
        <f t="shared" si="21"/>
        <v>14.552200000000001</v>
      </c>
    </row>
    <row r="118" spans="1:12" ht="12.75">
      <c r="A118" s="3" t="s">
        <v>255</v>
      </c>
      <c r="B118" s="3"/>
      <c r="C118" s="3" t="s">
        <v>317</v>
      </c>
      <c r="D118" s="3" t="s">
        <v>318</v>
      </c>
      <c r="E118" s="3" t="s">
        <v>74</v>
      </c>
      <c r="F118" s="19">
        <v>25.5</v>
      </c>
      <c r="H118" s="19">
        <f>F118*G118*0.813103365996632</f>
        <v>0</v>
      </c>
      <c r="I118" s="19">
        <f>F118*G118*(1-0.813103365996632)</f>
        <v>0</v>
      </c>
      <c r="J118" s="19">
        <f t="shared" si="20"/>
        <v>0</v>
      </c>
      <c r="K118" s="19">
        <v>0.19049</v>
      </c>
      <c r="L118" s="19">
        <f t="shared" si="21"/>
        <v>4.857495</v>
      </c>
    </row>
    <row r="119" spans="1:12" ht="12.75">
      <c r="A119" s="3" t="s">
        <v>292</v>
      </c>
      <c r="B119" s="3"/>
      <c r="C119" s="3" t="s">
        <v>319</v>
      </c>
      <c r="D119" s="3" t="s">
        <v>320</v>
      </c>
      <c r="E119" s="3" t="s">
        <v>74</v>
      </c>
      <c r="F119" s="19">
        <v>204</v>
      </c>
      <c r="H119" s="19">
        <f>F119*G119*0.831003091233941</f>
        <v>0</v>
      </c>
      <c r="I119" s="19">
        <f>F119*G119*(1-0.831003091233941)</f>
        <v>0</v>
      </c>
      <c r="J119" s="19">
        <f t="shared" si="20"/>
        <v>0</v>
      </c>
      <c r="K119" s="19">
        <v>0.21675</v>
      </c>
      <c r="L119" s="19">
        <f t="shared" si="21"/>
        <v>44.217</v>
      </c>
    </row>
    <row r="120" spans="1:12" ht="12.75">
      <c r="A120" s="3" t="s">
        <v>298</v>
      </c>
      <c r="B120" s="3"/>
      <c r="C120" s="3" t="s">
        <v>321</v>
      </c>
      <c r="D120" s="3" t="s">
        <v>322</v>
      </c>
      <c r="E120" s="3" t="s">
        <v>51</v>
      </c>
      <c r="F120" s="19">
        <v>16.48</v>
      </c>
      <c r="H120" s="19">
        <f>F120*G120*0.870031206402416</f>
        <v>0</v>
      </c>
      <c r="I120" s="19">
        <f>F120*G120*(1-0.870031206402416)</f>
        <v>0</v>
      </c>
      <c r="J120" s="19">
        <f t="shared" si="20"/>
        <v>0</v>
      </c>
      <c r="K120" s="19">
        <v>2.37855</v>
      </c>
      <c r="L120" s="19">
        <f t="shared" si="21"/>
        <v>39.19850400000001</v>
      </c>
    </row>
    <row r="121" spans="1:12" ht="12.75">
      <c r="A121" s="3" t="s">
        <v>323</v>
      </c>
      <c r="B121" s="3"/>
      <c r="C121" s="3" t="s">
        <v>324</v>
      </c>
      <c r="D121" s="3" t="s">
        <v>325</v>
      </c>
      <c r="E121" s="3" t="s">
        <v>74</v>
      </c>
      <c r="F121" s="19">
        <v>20.5</v>
      </c>
      <c r="H121" s="19">
        <f>F121*G121*0</f>
        <v>0</v>
      </c>
      <c r="I121" s="19">
        <f>F121*G121*(1-0)</f>
        <v>0</v>
      </c>
      <c r="J121" s="19">
        <f t="shared" si="20"/>
        <v>0</v>
      </c>
      <c r="K121" s="19">
        <v>0</v>
      </c>
      <c r="L121" s="19">
        <f t="shared" si="21"/>
        <v>0</v>
      </c>
    </row>
    <row r="122" spans="1:12" ht="12.75">
      <c r="A122" s="3" t="s">
        <v>326</v>
      </c>
      <c r="B122" s="3"/>
      <c r="C122" s="3" t="s">
        <v>327</v>
      </c>
      <c r="D122" s="3" t="s">
        <v>328</v>
      </c>
      <c r="E122" s="3" t="s">
        <v>74</v>
      </c>
      <c r="F122" s="19">
        <v>20.5</v>
      </c>
      <c r="H122" s="19">
        <f>F122*G122*0.508503401360544</f>
        <v>0</v>
      </c>
      <c r="I122" s="19">
        <f>F122*G122*(1-0.508503401360544)</f>
        <v>0</v>
      </c>
      <c r="J122" s="19">
        <f t="shared" si="20"/>
        <v>0</v>
      </c>
      <c r="K122" s="19">
        <v>0.03652</v>
      </c>
      <c r="L122" s="19">
        <f t="shared" si="21"/>
        <v>0.7486599999999999</v>
      </c>
    </row>
    <row r="123" spans="1:12" ht="12.75">
      <c r="A123" s="20"/>
      <c r="B123" s="20"/>
      <c r="C123" s="21" t="s">
        <v>326</v>
      </c>
      <c r="D123" s="55" t="s">
        <v>329</v>
      </c>
      <c r="E123" s="55"/>
      <c r="F123" s="55"/>
      <c r="G123" s="55"/>
      <c r="H123" s="22">
        <f>SUM(H124:H125)</f>
        <v>0</v>
      </c>
      <c r="I123" s="22">
        <f>SUM(I124:I125)</f>
        <v>0</v>
      </c>
      <c r="J123" s="22">
        <f t="shared" si="20"/>
        <v>0</v>
      </c>
      <c r="K123" s="23"/>
      <c r="L123" s="22">
        <f>SUM(L124:L125)</f>
        <v>1.03671</v>
      </c>
    </row>
    <row r="124" spans="1:12" ht="12.75">
      <c r="A124" s="3" t="s">
        <v>330</v>
      </c>
      <c r="B124" s="3"/>
      <c r="C124" s="3" t="s">
        <v>331</v>
      </c>
      <c r="D124" s="3" t="s">
        <v>332</v>
      </c>
      <c r="E124" s="3" t="s">
        <v>55</v>
      </c>
      <c r="F124" s="19">
        <v>2</v>
      </c>
      <c r="H124" s="19">
        <f>F124*G124*0.00367468393232301</f>
        <v>0</v>
      </c>
      <c r="I124" s="19">
        <f>F124*G124*(1-0.00367468393232301)</f>
        <v>0</v>
      </c>
      <c r="J124" s="19">
        <f t="shared" si="20"/>
        <v>0</v>
      </c>
      <c r="K124" s="19">
        <v>0.037</v>
      </c>
      <c r="L124" s="19">
        <f>F124*K124</f>
        <v>0.074</v>
      </c>
    </row>
    <row r="125" spans="1:12" ht="12.75">
      <c r="A125" s="3" t="s">
        <v>333</v>
      </c>
      <c r="B125" s="3"/>
      <c r="C125" s="3" t="s">
        <v>334</v>
      </c>
      <c r="D125" s="3" t="s">
        <v>335</v>
      </c>
      <c r="E125" s="3" t="s">
        <v>74</v>
      </c>
      <c r="F125" s="19">
        <v>7</v>
      </c>
      <c r="H125" s="19">
        <f>F125*G125*0.749691915137321</f>
        <v>0</v>
      </c>
      <c r="I125" s="19">
        <f>F125*G125*(1-0.749691915137321)</f>
        <v>0</v>
      </c>
      <c r="J125" s="19">
        <f t="shared" si="20"/>
        <v>0</v>
      </c>
      <c r="K125" s="19">
        <v>0.13753</v>
      </c>
      <c r="L125" s="19">
        <f>F125*K125</f>
        <v>0.9627100000000001</v>
      </c>
    </row>
    <row r="126" spans="1:12" ht="12.75">
      <c r="A126" s="20"/>
      <c r="B126" s="20"/>
      <c r="C126" s="21" t="s">
        <v>336</v>
      </c>
      <c r="D126" s="55" t="s">
        <v>337</v>
      </c>
      <c r="E126" s="55"/>
      <c r="F126" s="55"/>
      <c r="G126" s="55"/>
      <c r="H126" s="22">
        <f>SUM(H127:H128)</f>
        <v>0</v>
      </c>
      <c r="I126" s="22">
        <f>SUM(I127:I128)</f>
        <v>0</v>
      </c>
      <c r="J126" s="22">
        <f t="shared" si="20"/>
        <v>0</v>
      </c>
      <c r="K126" s="23"/>
      <c r="L126" s="22">
        <f>SUM(L127:L128)</f>
        <v>0.052</v>
      </c>
    </row>
    <row r="127" spans="1:12" ht="12.75">
      <c r="A127" s="3" t="s">
        <v>336</v>
      </c>
      <c r="B127" s="3"/>
      <c r="C127" s="3" t="s">
        <v>338</v>
      </c>
      <c r="D127" s="3" t="s">
        <v>339</v>
      </c>
      <c r="E127" s="3" t="s">
        <v>55</v>
      </c>
      <c r="F127" s="19">
        <v>1</v>
      </c>
      <c r="H127" s="19">
        <f>F127*G127*0</f>
        <v>0</v>
      </c>
      <c r="I127" s="19">
        <f>F127*G127*(1-0)</f>
        <v>0</v>
      </c>
      <c r="J127" s="19">
        <f t="shared" si="20"/>
        <v>0</v>
      </c>
      <c r="K127" s="19">
        <v>0.052</v>
      </c>
      <c r="L127" s="19">
        <f>F127*K127</f>
        <v>0.052</v>
      </c>
    </row>
    <row r="128" spans="1:12" ht="12.75">
      <c r="A128" s="3" t="s">
        <v>340</v>
      </c>
      <c r="B128" s="3"/>
      <c r="C128" s="3" t="s">
        <v>341</v>
      </c>
      <c r="D128" s="3" t="s">
        <v>342</v>
      </c>
      <c r="E128" s="3" t="s">
        <v>55</v>
      </c>
      <c r="F128" s="19">
        <v>2</v>
      </c>
      <c r="H128" s="19">
        <f>F128*G128*0.000131665569453588</f>
        <v>0</v>
      </c>
      <c r="I128" s="19">
        <f>F128*G128*(1-0.000131665569453588)</f>
        <v>0</v>
      </c>
      <c r="J128" s="19">
        <f t="shared" si="20"/>
        <v>0</v>
      </c>
      <c r="K128" s="19">
        <v>0</v>
      </c>
      <c r="L128" s="19">
        <f>F128*K128</f>
        <v>0</v>
      </c>
    </row>
    <row r="129" spans="1:12" ht="12.75">
      <c r="A129" s="20"/>
      <c r="B129" s="20"/>
      <c r="C129" s="21" t="s">
        <v>343</v>
      </c>
      <c r="D129" s="55" t="s">
        <v>344</v>
      </c>
      <c r="E129" s="55"/>
      <c r="F129" s="55"/>
      <c r="G129" s="55"/>
      <c r="H129" s="22">
        <f>SUM(H130:H130)</f>
        <v>0</v>
      </c>
      <c r="I129" s="22">
        <f>SUM(I130:I130)</f>
        <v>0</v>
      </c>
      <c r="J129" s="22">
        <f t="shared" si="20"/>
        <v>0</v>
      </c>
      <c r="K129" s="23"/>
      <c r="L129" s="22">
        <f>SUM(L130:L130)</f>
        <v>2.38</v>
      </c>
    </row>
    <row r="130" spans="1:12" ht="12.75">
      <c r="A130" s="3" t="s">
        <v>343</v>
      </c>
      <c r="B130" s="3"/>
      <c r="C130" s="3" t="s">
        <v>345</v>
      </c>
      <c r="D130" s="3" t="s">
        <v>346</v>
      </c>
      <c r="E130" s="3" t="s">
        <v>51</v>
      </c>
      <c r="F130" s="19">
        <v>1</v>
      </c>
      <c r="H130" s="19">
        <f>F130*G130*0.00436614823181858</f>
        <v>0</v>
      </c>
      <c r="I130" s="19">
        <f>F130*G130*(1-0.00436614823181858)</f>
        <v>0</v>
      </c>
      <c r="J130" s="19">
        <f t="shared" si="20"/>
        <v>0</v>
      </c>
      <c r="K130" s="19">
        <v>2.38</v>
      </c>
      <c r="L130" s="19">
        <f>F130*K130</f>
        <v>2.38</v>
      </c>
    </row>
    <row r="131" spans="1:12" ht="12.75">
      <c r="A131" s="20"/>
      <c r="B131" s="20"/>
      <c r="C131" s="21" t="s">
        <v>347</v>
      </c>
      <c r="D131" s="55" t="s">
        <v>348</v>
      </c>
      <c r="E131" s="55"/>
      <c r="F131" s="55"/>
      <c r="G131" s="55"/>
      <c r="H131" s="22">
        <f>SUM(H132:H132)</f>
        <v>0</v>
      </c>
      <c r="I131" s="22">
        <f>SUM(I132:I132)</f>
        <v>0</v>
      </c>
      <c r="J131" s="22">
        <f t="shared" si="20"/>
        <v>0</v>
      </c>
      <c r="K131" s="23"/>
      <c r="L131" s="22">
        <f>SUM(L132:L132)</f>
        <v>0</v>
      </c>
    </row>
    <row r="132" spans="1:12" ht="12.75">
      <c r="A132" s="3" t="s">
        <v>349</v>
      </c>
      <c r="B132" s="3"/>
      <c r="C132" s="3" t="s">
        <v>350</v>
      </c>
      <c r="D132" s="3" t="s">
        <v>351</v>
      </c>
      <c r="E132" s="3" t="s">
        <v>38</v>
      </c>
      <c r="F132" s="19">
        <v>298.25</v>
      </c>
      <c r="H132" s="19">
        <f>F132*G132*0</f>
        <v>0</v>
      </c>
      <c r="I132" s="19">
        <f>F132*G132*(1-0)</f>
        <v>0</v>
      </c>
      <c r="J132" s="19">
        <f t="shared" si="20"/>
        <v>0</v>
      </c>
      <c r="K132" s="19">
        <v>0</v>
      </c>
      <c r="L132" s="19">
        <f>F132*K132</f>
        <v>0</v>
      </c>
    </row>
    <row r="133" spans="1:12" ht="12.75">
      <c r="A133" s="20"/>
      <c r="B133" s="20"/>
      <c r="C133" s="21" t="s">
        <v>352</v>
      </c>
      <c r="D133" s="55" t="s">
        <v>353</v>
      </c>
      <c r="E133" s="55"/>
      <c r="F133" s="55"/>
      <c r="G133" s="55"/>
      <c r="H133" s="22">
        <f>SUM(H134:H135)</f>
        <v>0</v>
      </c>
      <c r="I133" s="22">
        <f>SUM(I134:I135)</f>
        <v>0</v>
      </c>
      <c r="J133" s="22">
        <f t="shared" si="20"/>
        <v>0</v>
      </c>
      <c r="K133" s="23"/>
      <c r="L133" s="22">
        <f>SUM(L134:L135)</f>
        <v>29.24</v>
      </c>
    </row>
    <row r="134" spans="1:12" ht="12.75">
      <c r="A134" s="3" t="s">
        <v>354</v>
      </c>
      <c r="B134" s="3"/>
      <c r="C134" s="3" t="s">
        <v>355</v>
      </c>
      <c r="D134" s="3" t="s">
        <v>356</v>
      </c>
      <c r="E134" s="3" t="s">
        <v>74</v>
      </c>
      <c r="F134" s="19">
        <v>85</v>
      </c>
      <c r="H134" s="19">
        <f>F134*G134*0.542239982422894</f>
        <v>0</v>
      </c>
      <c r="I134" s="19">
        <f>F134*G134*(1-0.542239982422894)</f>
        <v>0</v>
      </c>
      <c r="J134" s="19">
        <f t="shared" si="20"/>
        <v>0</v>
      </c>
      <c r="K134" s="19">
        <v>0.344</v>
      </c>
      <c r="L134" s="19">
        <f>F134*K134</f>
        <v>29.24</v>
      </c>
    </row>
    <row r="135" spans="1:12" ht="12.75">
      <c r="A135" s="3" t="s">
        <v>357</v>
      </c>
      <c r="B135" s="3"/>
      <c r="C135" s="3" t="s">
        <v>358</v>
      </c>
      <c r="D135" s="3" t="s">
        <v>359</v>
      </c>
      <c r="E135" s="3" t="s">
        <v>55</v>
      </c>
      <c r="F135" s="19">
        <v>1</v>
      </c>
      <c r="H135" s="19">
        <f>F135*G135*0.712176463032588</f>
        <v>0</v>
      </c>
      <c r="I135" s="19">
        <f>F135*G135*(1-0.712176463032588)</f>
        <v>0</v>
      </c>
      <c r="J135" s="19">
        <f t="shared" si="20"/>
        <v>0</v>
      </c>
      <c r="K135" s="19">
        <v>0</v>
      </c>
      <c r="L135" s="19">
        <f>F135*K135</f>
        <v>0</v>
      </c>
    </row>
    <row r="136" spans="1:12" ht="12.75">
      <c r="A136" s="20"/>
      <c r="B136" s="20"/>
      <c r="C136" s="21" t="s">
        <v>360</v>
      </c>
      <c r="D136" s="55" t="s">
        <v>361</v>
      </c>
      <c r="E136" s="55"/>
      <c r="F136" s="55"/>
      <c r="G136" s="55"/>
      <c r="H136" s="22">
        <f>SUM(H137:H137)</f>
        <v>0</v>
      </c>
      <c r="I136" s="22">
        <f>SUM(I137:I137)</f>
        <v>0</v>
      </c>
      <c r="J136" s="22">
        <f t="shared" si="20"/>
        <v>0</v>
      </c>
      <c r="K136" s="23"/>
      <c r="L136" s="22">
        <f>SUM(L137:L137)</f>
        <v>0</v>
      </c>
    </row>
    <row r="137" spans="1:12" ht="12.75">
      <c r="A137" s="3" t="s">
        <v>362</v>
      </c>
      <c r="B137" s="3"/>
      <c r="C137" s="3" t="s">
        <v>363</v>
      </c>
      <c r="D137" s="3" t="s">
        <v>364</v>
      </c>
      <c r="E137" s="3" t="s">
        <v>38</v>
      </c>
      <c r="F137" s="19">
        <v>163.05</v>
      </c>
      <c r="H137" s="19">
        <f>F137*G137*0</f>
        <v>0</v>
      </c>
      <c r="I137" s="19">
        <f>F137*G137*(1-0)</f>
        <v>0</v>
      </c>
      <c r="J137" s="19">
        <f t="shared" si="20"/>
        <v>0</v>
      </c>
      <c r="K137" s="19">
        <v>0</v>
      </c>
      <c r="L137" s="19">
        <f>F137*K137</f>
        <v>0</v>
      </c>
    </row>
    <row r="138" spans="1:12" ht="12.75">
      <c r="A138" s="20"/>
      <c r="B138" s="20"/>
      <c r="C138" s="21"/>
      <c r="D138" s="55" t="s">
        <v>365</v>
      </c>
      <c r="E138" s="55"/>
      <c r="F138" s="55"/>
      <c r="G138" s="55"/>
      <c r="H138" s="22">
        <f>SUM(H139:H155)</f>
        <v>0</v>
      </c>
      <c r="I138" s="22">
        <f>SUM(I139:I155)</f>
        <v>0</v>
      </c>
      <c r="J138" s="22">
        <f t="shared" si="20"/>
        <v>0</v>
      </c>
      <c r="K138" s="23"/>
      <c r="L138" s="22">
        <f>SUM(L139:L155)</f>
        <v>17.961660000000002</v>
      </c>
    </row>
    <row r="139" spans="1:12" ht="12.75">
      <c r="A139" s="3" t="s">
        <v>366</v>
      </c>
      <c r="B139" s="3"/>
      <c r="C139" s="3" t="s">
        <v>367</v>
      </c>
      <c r="D139" s="3" t="s">
        <v>368</v>
      </c>
      <c r="E139" s="3" t="s">
        <v>369</v>
      </c>
      <c r="F139" s="19">
        <v>6.75</v>
      </c>
      <c r="H139" s="19">
        <f aca="true" t="shared" si="22" ref="H139:H155">F139*G139*1</f>
        <v>0</v>
      </c>
      <c r="I139" s="19">
        <f aca="true" t="shared" si="23" ref="I139:I155">F139*G139*(1-1)</f>
        <v>0</v>
      </c>
      <c r="J139" s="19">
        <f t="shared" si="20"/>
        <v>0</v>
      </c>
      <c r="K139" s="19">
        <v>0.001</v>
      </c>
      <c r="L139" s="19">
        <f aca="true" t="shared" si="24" ref="L139:L155">F139*K139</f>
        <v>0.00675</v>
      </c>
    </row>
    <row r="140" spans="1:12" ht="12.75">
      <c r="A140" s="3" t="s">
        <v>370</v>
      </c>
      <c r="B140" s="3"/>
      <c r="C140" s="3" t="s">
        <v>371</v>
      </c>
      <c r="D140" s="3" t="s">
        <v>372</v>
      </c>
      <c r="E140" s="3" t="s">
        <v>369</v>
      </c>
      <c r="F140" s="19">
        <v>18.79</v>
      </c>
      <c r="H140" s="19">
        <f t="shared" si="22"/>
        <v>0</v>
      </c>
      <c r="I140" s="19">
        <f t="shared" si="23"/>
        <v>0</v>
      </c>
      <c r="J140" s="19">
        <f aca="true" t="shared" si="25" ref="J140:J171">H140+I140</f>
        <v>0</v>
      </c>
      <c r="K140" s="19">
        <v>0.001</v>
      </c>
      <c r="L140" s="19">
        <f t="shared" si="24"/>
        <v>0.01879</v>
      </c>
    </row>
    <row r="141" spans="1:12" ht="12.75">
      <c r="A141" s="3" t="s">
        <v>373</v>
      </c>
      <c r="B141" s="3"/>
      <c r="C141" s="3" t="s">
        <v>374</v>
      </c>
      <c r="D141" s="3" t="s">
        <v>375</v>
      </c>
      <c r="E141" s="3" t="s">
        <v>55</v>
      </c>
      <c r="F141" s="19">
        <v>3</v>
      </c>
      <c r="H141" s="19">
        <f t="shared" si="22"/>
        <v>0</v>
      </c>
      <c r="I141" s="19">
        <f t="shared" si="23"/>
        <v>0</v>
      </c>
      <c r="J141" s="19">
        <f t="shared" si="25"/>
        <v>0</v>
      </c>
      <c r="K141" s="19">
        <v>0.0051</v>
      </c>
      <c r="L141" s="19">
        <f t="shared" si="24"/>
        <v>0.015300000000000001</v>
      </c>
    </row>
    <row r="142" spans="1:12" ht="12.75">
      <c r="A142" s="3" t="s">
        <v>376</v>
      </c>
      <c r="B142" s="3"/>
      <c r="C142" s="3" t="s">
        <v>377</v>
      </c>
      <c r="D142" s="3" t="s">
        <v>378</v>
      </c>
      <c r="E142" s="3" t="s">
        <v>74</v>
      </c>
      <c r="F142" s="19">
        <v>9</v>
      </c>
      <c r="H142" s="19">
        <f t="shared" si="22"/>
        <v>0</v>
      </c>
      <c r="I142" s="19">
        <f t="shared" si="23"/>
        <v>0</v>
      </c>
      <c r="J142" s="19">
        <f t="shared" si="25"/>
        <v>0</v>
      </c>
      <c r="K142" s="19">
        <v>0.002</v>
      </c>
      <c r="L142" s="19">
        <f t="shared" si="24"/>
        <v>0.018000000000000002</v>
      </c>
    </row>
    <row r="143" spans="1:12" ht="12.75">
      <c r="A143" s="3" t="s">
        <v>379</v>
      </c>
      <c r="B143" s="3"/>
      <c r="C143" s="3" t="s">
        <v>380</v>
      </c>
      <c r="D143" s="3" t="s">
        <v>381</v>
      </c>
      <c r="E143" s="3" t="s">
        <v>55</v>
      </c>
      <c r="F143" s="19">
        <v>3</v>
      </c>
      <c r="H143" s="19">
        <f t="shared" si="22"/>
        <v>0</v>
      </c>
      <c r="I143" s="19">
        <f t="shared" si="23"/>
        <v>0</v>
      </c>
      <c r="J143" s="19">
        <f t="shared" si="25"/>
        <v>0</v>
      </c>
      <c r="K143" s="19">
        <v>0.00126</v>
      </c>
      <c r="L143" s="19">
        <f t="shared" si="24"/>
        <v>0.0037800000000000004</v>
      </c>
    </row>
    <row r="144" spans="1:12" ht="12.75">
      <c r="A144" s="3" t="s">
        <v>382</v>
      </c>
      <c r="B144" s="3"/>
      <c r="C144" s="3" t="s">
        <v>383</v>
      </c>
      <c r="D144" s="3" t="s">
        <v>384</v>
      </c>
      <c r="E144" s="3" t="s">
        <v>55</v>
      </c>
      <c r="F144" s="19">
        <v>3</v>
      </c>
      <c r="H144" s="19">
        <f t="shared" si="22"/>
        <v>0</v>
      </c>
      <c r="I144" s="19">
        <f t="shared" si="23"/>
        <v>0</v>
      </c>
      <c r="J144" s="19">
        <f t="shared" si="25"/>
        <v>0</v>
      </c>
      <c r="K144" s="19">
        <v>0.08</v>
      </c>
      <c r="L144" s="19">
        <f t="shared" si="24"/>
        <v>0.24</v>
      </c>
    </row>
    <row r="145" spans="1:12" ht="12.75">
      <c r="A145" s="3" t="s">
        <v>385</v>
      </c>
      <c r="B145" s="3"/>
      <c r="C145" s="3" t="s">
        <v>386</v>
      </c>
      <c r="D145" s="3" t="s">
        <v>387</v>
      </c>
      <c r="E145" s="3" t="s">
        <v>55</v>
      </c>
      <c r="F145" s="19">
        <v>36</v>
      </c>
      <c r="H145" s="19">
        <f t="shared" si="22"/>
        <v>0</v>
      </c>
      <c r="I145" s="19">
        <f t="shared" si="23"/>
        <v>0</v>
      </c>
      <c r="J145" s="19">
        <f t="shared" si="25"/>
        <v>0</v>
      </c>
      <c r="K145" s="19">
        <v>0.047</v>
      </c>
      <c r="L145" s="19">
        <f t="shared" si="24"/>
        <v>1.692</v>
      </c>
    </row>
    <row r="146" spans="1:12" ht="12.75">
      <c r="A146" s="3" t="s">
        <v>388</v>
      </c>
      <c r="B146" s="3"/>
      <c r="C146" s="3" t="s">
        <v>389</v>
      </c>
      <c r="D146" s="3" t="s">
        <v>390</v>
      </c>
      <c r="E146" s="3" t="s">
        <v>55</v>
      </c>
      <c r="F146" s="19">
        <v>36</v>
      </c>
      <c r="H146" s="19">
        <f t="shared" si="22"/>
        <v>0</v>
      </c>
      <c r="I146" s="19">
        <f t="shared" si="23"/>
        <v>0</v>
      </c>
      <c r="J146" s="19">
        <f t="shared" si="25"/>
        <v>0</v>
      </c>
      <c r="K146" s="19">
        <v>0.019</v>
      </c>
      <c r="L146" s="19">
        <f t="shared" si="24"/>
        <v>0.6839999999999999</v>
      </c>
    </row>
    <row r="147" spans="1:12" ht="12.75">
      <c r="A147" s="3" t="s">
        <v>391</v>
      </c>
      <c r="B147" s="3"/>
      <c r="C147" s="3" t="s">
        <v>392</v>
      </c>
      <c r="D147" s="3" t="s">
        <v>393</v>
      </c>
      <c r="E147" s="3" t="s">
        <v>55</v>
      </c>
      <c r="F147" s="19">
        <v>2</v>
      </c>
      <c r="H147" s="19">
        <f t="shared" si="22"/>
        <v>0</v>
      </c>
      <c r="I147" s="19">
        <f t="shared" si="23"/>
        <v>0</v>
      </c>
      <c r="J147" s="19">
        <f t="shared" si="25"/>
        <v>0</v>
      </c>
      <c r="K147" s="19">
        <v>0.024</v>
      </c>
      <c r="L147" s="19">
        <f t="shared" si="24"/>
        <v>0.048</v>
      </c>
    </row>
    <row r="148" spans="1:12" ht="12.75">
      <c r="A148" s="3" t="s">
        <v>394</v>
      </c>
      <c r="B148" s="3"/>
      <c r="C148" s="3" t="s">
        <v>395</v>
      </c>
      <c r="D148" s="3" t="s">
        <v>396</v>
      </c>
      <c r="E148" s="3" t="s">
        <v>55</v>
      </c>
      <c r="F148" s="19">
        <v>1</v>
      </c>
      <c r="H148" s="19">
        <f t="shared" si="22"/>
        <v>0</v>
      </c>
      <c r="I148" s="19">
        <f t="shared" si="23"/>
        <v>0</v>
      </c>
      <c r="J148" s="19">
        <f t="shared" si="25"/>
        <v>0</v>
      </c>
      <c r="K148" s="19">
        <v>0.039</v>
      </c>
      <c r="L148" s="19">
        <f t="shared" si="24"/>
        <v>0.039</v>
      </c>
    </row>
    <row r="149" spans="1:12" ht="12.75">
      <c r="A149" s="3" t="s">
        <v>397</v>
      </c>
      <c r="B149" s="3"/>
      <c r="C149" s="3" t="s">
        <v>398</v>
      </c>
      <c r="D149" s="3" t="s">
        <v>399</v>
      </c>
      <c r="E149" s="3" t="s">
        <v>55</v>
      </c>
      <c r="F149" s="19">
        <v>1</v>
      </c>
      <c r="H149" s="19">
        <f t="shared" si="22"/>
        <v>0</v>
      </c>
      <c r="I149" s="19">
        <f t="shared" si="23"/>
        <v>0</v>
      </c>
      <c r="J149" s="19">
        <f t="shared" si="25"/>
        <v>0</v>
      </c>
      <c r="K149" s="19">
        <v>0.051</v>
      </c>
      <c r="L149" s="19">
        <f t="shared" si="24"/>
        <v>0.051</v>
      </c>
    </row>
    <row r="150" spans="1:12" ht="12.75">
      <c r="A150" s="3" t="s">
        <v>400</v>
      </c>
      <c r="B150" s="3"/>
      <c r="C150" s="3" t="s">
        <v>401</v>
      </c>
      <c r="D150" s="3" t="s">
        <v>402</v>
      </c>
      <c r="E150" s="3" t="s">
        <v>55</v>
      </c>
      <c r="F150" s="19">
        <v>3</v>
      </c>
      <c r="H150" s="19">
        <f t="shared" si="22"/>
        <v>0</v>
      </c>
      <c r="I150" s="19">
        <f t="shared" si="23"/>
        <v>0</v>
      </c>
      <c r="J150" s="19">
        <f t="shared" si="25"/>
        <v>0</v>
      </c>
      <c r="K150" s="19">
        <v>1.6</v>
      </c>
      <c r="L150" s="19">
        <f t="shared" si="24"/>
        <v>4.800000000000001</v>
      </c>
    </row>
    <row r="151" spans="1:12" ht="12.75">
      <c r="A151" s="3" t="s">
        <v>403</v>
      </c>
      <c r="B151" s="3"/>
      <c r="C151" s="3" t="s">
        <v>404</v>
      </c>
      <c r="D151" s="3" t="s">
        <v>405</v>
      </c>
      <c r="E151" s="3" t="s">
        <v>55</v>
      </c>
      <c r="F151" s="19">
        <v>10</v>
      </c>
      <c r="H151" s="19">
        <f t="shared" si="22"/>
        <v>0</v>
      </c>
      <c r="I151" s="19">
        <f t="shared" si="23"/>
        <v>0</v>
      </c>
      <c r="J151" s="19">
        <f t="shared" si="25"/>
        <v>0</v>
      </c>
      <c r="K151" s="19">
        <v>0.002</v>
      </c>
      <c r="L151" s="19">
        <f t="shared" si="24"/>
        <v>0.02</v>
      </c>
    </row>
    <row r="152" spans="1:12" ht="12.75">
      <c r="A152" s="3" t="s">
        <v>406</v>
      </c>
      <c r="B152" s="3"/>
      <c r="C152" s="3" t="s">
        <v>407</v>
      </c>
      <c r="D152" s="3" t="s">
        <v>408</v>
      </c>
      <c r="E152" s="3" t="s">
        <v>55</v>
      </c>
      <c r="F152" s="19">
        <v>4</v>
      </c>
      <c r="H152" s="19">
        <f t="shared" si="22"/>
        <v>0</v>
      </c>
      <c r="I152" s="19">
        <f t="shared" si="23"/>
        <v>0</v>
      </c>
      <c r="J152" s="19">
        <f t="shared" si="25"/>
        <v>0</v>
      </c>
      <c r="K152" s="19">
        <v>0.504</v>
      </c>
      <c r="L152" s="19">
        <f t="shared" si="24"/>
        <v>2.016</v>
      </c>
    </row>
    <row r="153" spans="1:12" ht="12.75">
      <c r="A153" s="3" t="s">
        <v>409</v>
      </c>
      <c r="B153" s="3"/>
      <c r="C153" s="3" t="s">
        <v>410</v>
      </c>
      <c r="D153" s="3" t="s">
        <v>411</v>
      </c>
      <c r="E153" s="3" t="s">
        <v>55</v>
      </c>
      <c r="F153" s="19">
        <v>3</v>
      </c>
      <c r="H153" s="19">
        <f t="shared" si="22"/>
        <v>0</v>
      </c>
      <c r="I153" s="19">
        <f t="shared" si="23"/>
        <v>0</v>
      </c>
      <c r="J153" s="19">
        <f t="shared" si="25"/>
        <v>0</v>
      </c>
      <c r="K153" s="19">
        <v>0.252</v>
      </c>
      <c r="L153" s="19">
        <f t="shared" si="24"/>
        <v>0.756</v>
      </c>
    </row>
    <row r="154" spans="1:12" ht="12.75">
      <c r="A154" s="3" t="s">
        <v>412</v>
      </c>
      <c r="B154" s="3"/>
      <c r="C154" s="3" t="s">
        <v>413</v>
      </c>
      <c r="D154" s="3" t="s">
        <v>414</v>
      </c>
      <c r="E154" s="3" t="s">
        <v>55</v>
      </c>
      <c r="F154" s="19">
        <v>3</v>
      </c>
      <c r="H154" s="19">
        <f t="shared" si="22"/>
        <v>0</v>
      </c>
      <c r="I154" s="19">
        <f t="shared" si="23"/>
        <v>0</v>
      </c>
      <c r="J154" s="19">
        <f t="shared" si="25"/>
        <v>0</v>
      </c>
      <c r="K154" s="19">
        <v>0.53</v>
      </c>
      <c r="L154" s="19">
        <f t="shared" si="24"/>
        <v>1.59</v>
      </c>
    </row>
    <row r="155" spans="1:12" ht="12.75">
      <c r="A155" s="24" t="s">
        <v>415</v>
      </c>
      <c r="B155" s="24"/>
      <c r="C155" s="24" t="s">
        <v>416</v>
      </c>
      <c r="D155" s="24" t="s">
        <v>417</v>
      </c>
      <c r="E155" s="24" t="s">
        <v>65</v>
      </c>
      <c r="F155" s="25">
        <v>48.48</v>
      </c>
      <c r="G155" s="26"/>
      <c r="H155" s="25">
        <f t="shared" si="22"/>
        <v>0</v>
      </c>
      <c r="I155" s="25">
        <f t="shared" si="23"/>
        <v>0</v>
      </c>
      <c r="J155" s="25">
        <f t="shared" si="25"/>
        <v>0</v>
      </c>
      <c r="K155" s="25">
        <v>0.123</v>
      </c>
      <c r="L155" s="25">
        <f t="shared" si="24"/>
        <v>5.9630399999999995</v>
      </c>
    </row>
    <row r="156" spans="1:12" ht="12.75">
      <c r="A156" s="27"/>
      <c r="B156" s="27"/>
      <c r="C156" s="27"/>
      <c r="D156" s="27"/>
      <c r="E156" s="27"/>
      <c r="F156" s="27"/>
      <c r="G156" s="27"/>
      <c r="H156" s="42" t="s">
        <v>418</v>
      </c>
      <c r="I156" s="42"/>
      <c r="J156" s="28">
        <f>J12+J17+J28+J35+J40+J43+J50+J57+J67+J69+J73+J75+J86+J89+J92+J95+J108+J110+J123+J126+J129+J131+J133+J136+J138</f>
        <v>0</v>
      </c>
      <c r="K156" s="27"/>
      <c r="L156" s="27"/>
    </row>
  </sheetData>
  <mergeCells count="53">
    <mergeCell ref="D138:G138"/>
    <mergeCell ref="H156:I156"/>
    <mergeCell ref="D129:G129"/>
    <mergeCell ref="D131:G131"/>
    <mergeCell ref="D133:G133"/>
    <mergeCell ref="D136:G136"/>
    <mergeCell ref="D108:G108"/>
    <mergeCell ref="D110:G110"/>
    <mergeCell ref="D123:G123"/>
    <mergeCell ref="D126:G126"/>
    <mergeCell ref="D86:G86"/>
    <mergeCell ref="D89:G89"/>
    <mergeCell ref="D92:G92"/>
    <mergeCell ref="D95:G95"/>
    <mergeCell ref="D67:G67"/>
    <mergeCell ref="D69:G69"/>
    <mergeCell ref="D73:G73"/>
    <mergeCell ref="D75:G75"/>
    <mergeCell ref="D40:G40"/>
    <mergeCell ref="D43:G43"/>
    <mergeCell ref="D50:G50"/>
    <mergeCell ref="D57:G57"/>
    <mergeCell ref="D12:G12"/>
    <mergeCell ref="D17:G17"/>
    <mergeCell ref="D28:G28"/>
    <mergeCell ref="D35:G35"/>
    <mergeCell ref="I8:I9"/>
    <mergeCell ref="J8:L9"/>
    <mergeCell ref="H10:J10"/>
    <mergeCell ref="K10:L10"/>
    <mergeCell ref="A8:C9"/>
    <mergeCell ref="D8:D9"/>
    <mergeCell ref="E8:F9"/>
    <mergeCell ref="G8:H9"/>
    <mergeCell ref="I4:I5"/>
    <mergeCell ref="J4:L5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A1:L1"/>
    <mergeCell ref="A2:C3"/>
    <mergeCell ref="D2:D3"/>
    <mergeCell ref="E2:F3"/>
    <mergeCell ref="G2:H3"/>
    <mergeCell ref="I2:I3"/>
    <mergeCell ref="J2:L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  <col min="10" max="16384" width="11.421875" style="0" customWidth="1"/>
  </cols>
  <sheetData>
    <row r="1" spans="1:9" ht="28.5" customHeight="1">
      <c r="A1" s="56" t="s">
        <v>419</v>
      </c>
      <c r="B1" s="56"/>
      <c r="C1" s="56"/>
      <c r="D1" s="56"/>
      <c r="E1" s="56"/>
      <c r="F1" s="56"/>
      <c r="G1" s="56"/>
      <c r="H1" s="56"/>
      <c r="I1" s="56"/>
    </row>
    <row r="2" spans="1:10" ht="12.75">
      <c r="A2" s="41" t="s">
        <v>1</v>
      </c>
      <c r="B2" s="41"/>
      <c r="C2" s="42" t="s">
        <v>2</v>
      </c>
      <c r="D2" s="42"/>
      <c r="E2" s="43" t="s">
        <v>5</v>
      </c>
      <c r="F2" s="43" t="s">
        <v>6</v>
      </c>
      <c r="G2" s="43"/>
      <c r="H2" s="43" t="s">
        <v>420</v>
      </c>
      <c r="I2" s="44"/>
      <c r="J2" s="2"/>
    </row>
    <row r="3" spans="1:10" ht="12.75">
      <c r="A3" s="41"/>
      <c r="B3" s="41"/>
      <c r="C3" s="42"/>
      <c r="D3" s="42"/>
      <c r="E3" s="43"/>
      <c r="F3" s="43"/>
      <c r="G3" s="43"/>
      <c r="H3" s="43"/>
      <c r="I3" s="44"/>
      <c r="J3" s="2"/>
    </row>
    <row r="4" spans="1:10" ht="12.75">
      <c r="A4" s="45" t="s">
        <v>7</v>
      </c>
      <c r="B4" s="45"/>
      <c r="C4" s="46" t="s">
        <v>8</v>
      </c>
      <c r="D4" s="46"/>
      <c r="E4" s="46" t="s">
        <v>10</v>
      </c>
      <c r="F4" s="46" t="s">
        <v>11</v>
      </c>
      <c r="G4" s="46"/>
      <c r="H4" s="46" t="s">
        <v>420</v>
      </c>
      <c r="I4" s="48"/>
      <c r="J4" s="2"/>
    </row>
    <row r="5" spans="1:10" ht="12.75">
      <c r="A5" s="45"/>
      <c r="B5" s="45"/>
      <c r="C5" s="46"/>
      <c r="D5" s="46"/>
      <c r="E5" s="46"/>
      <c r="F5" s="46"/>
      <c r="G5" s="46"/>
      <c r="H5" s="46"/>
      <c r="I5" s="48"/>
      <c r="J5" s="2"/>
    </row>
    <row r="6" spans="1:10" ht="12.75">
      <c r="A6" s="45" t="s">
        <v>12</v>
      </c>
      <c r="B6" s="45"/>
      <c r="C6" s="46" t="s">
        <v>13</v>
      </c>
      <c r="D6" s="46"/>
      <c r="E6" s="46" t="s">
        <v>15</v>
      </c>
      <c r="F6" s="46"/>
      <c r="G6" s="46"/>
      <c r="H6" s="46" t="s">
        <v>420</v>
      </c>
      <c r="I6" s="48"/>
      <c r="J6" s="2"/>
    </row>
    <row r="7" spans="1:10" ht="12.75">
      <c r="A7" s="45"/>
      <c r="B7" s="45"/>
      <c r="C7" s="46"/>
      <c r="D7" s="46"/>
      <c r="E7" s="46"/>
      <c r="F7" s="46"/>
      <c r="G7" s="46"/>
      <c r="H7" s="46"/>
      <c r="I7" s="48"/>
      <c r="J7" s="2"/>
    </row>
    <row r="8" spans="1:10" ht="12.75">
      <c r="A8" s="45" t="s">
        <v>9</v>
      </c>
      <c r="B8" s="45"/>
      <c r="C8" s="47">
        <v>40638</v>
      </c>
      <c r="D8" s="47"/>
      <c r="E8" s="46" t="s">
        <v>14</v>
      </c>
      <c r="F8" s="47">
        <v>40785</v>
      </c>
      <c r="G8" s="47"/>
      <c r="H8" s="46" t="s">
        <v>421</v>
      </c>
      <c r="I8" s="48" t="s">
        <v>415</v>
      </c>
      <c r="J8" s="2"/>
    </row>
    <row r="9" spans="1:10" ht="12.75">
      <c r="A9" s="45"/>
      <c r="B9" s="45"/>
      <c r="C9" s="47"/>
      <c r="D9" s="47"/>
      <c r="E9" s="46"/>
      <c r="F9" s="46"/>
      <c r="G9" s="47"/>
      <c r="H9" s="46"/>
      <c r="I9" s="48"/>
      <c r="J9" s="2"/>
    </row>
    <row r="10" spans="1:10" ht="12.75">
      <c r="A10" s="57" t="s">
        <v>16</v>
      </c>
      <c r="B10" s="57"/>
      <c r="C10" s="58"/>
      <c r="D10" s="58"/>
      <c r="E10" s="58" t="s">
        <v>18</v>
      </c>
      <c r="F10" s="58" t="s">
        <v>11</v>
      </c>
      <c r="G10" s="58"/>
      <c r="H10" s="58" t="s">
        <v>422</v>
      </c>
      <c r="I10" s="59">
        <v>40505</v>
      </c>
      <c r="J10" s="2"/>
    </row>
    <row r="11" spans="1:10" ht="12.75">
      <c r="A11" s="57"/>
      <c r="B11" s="57"/>
      <c r="C11" s="58"/>
      <c r="D11" s="58"/>
      <c r="E11" s="58"/>
      <c r="F11" s="58"/>
      <c r="G11" s="58"/>
      <c r="H11" s="58"/>
      <c r="I11" s="59"/>
      <c r="J11" s="2"/>
    </row>
    <row r="12" spans="1:9" ht="23.25" customHeight="1">
      <c r="A12" s="60" t="s">
        <v>423</v>
      </c>
      <c r="B12" s="60"/>
      <c r="C12" s="60"/>
      <c r="D12" s="60"/>
      <c r="E12" s="60"/>
      <c r="F12" s="60"/>
      <c r="G12" s="60"/>
      <c r="H12" s="60"/>
      <c r="I12" s="60"/>
    </row>
    <row r="13" spans="1:10" ht="26.25" customHeight="1">
      <c r="A13" s="29" t="s">
        <v>424</v>
      </c>
      <c r="B13" s="61" t="s">
        <v>425</v>
      </c>
      <c r="C13" s="61"/>
      <c r="D13" s="29" t="s">
        <v>426</v>
      </c>
      <c r="E13" s="61" t="s">
        <v>427</v>
      </c>
      <c r="F13" s="61"/>
      <c r="G13" s="29" t="s">
        <v>428</v>
      </c>
      <c r="H13" s="61" t="s">
        <v>429</v>
      </c>
      <c r="I13" s="61"/>
      <c r="J13" s="2"/>
    </row>
    <row r="14" spans="1:10" ht="15" customHeight="1">
      <c r="A14" s="30" t="s">
        <v>430</v>
      </c>
      <c r="B14" s="31" t="s">
        <v>431</v>
      </c>
      <c r="C14" s="32"/>
      <c r="D14" s="62" t="s">
        <v>432</v>
      </c>
      <c r="E14" s="62"/>
      <c r="F14" s="32"/>
      <c r="G14" s="62" t="s">
        <v>433</v>
      </c>
      <c r="H14" s="62"/>
      <c r="I14" s="32"/>
      <c r="J14" s="2"/>
    </row>
    <row r="15" spans="1:10" ht="15" customHeight="1">
      <c r="A15" s="33"/>
      <c r="B15" s="31" t="s">
        <v>31</v>
      </c>
      <c r="C15" s="32"/>
      <c r="D15" s="62" t="s">
        <v>434</v>
      </c>
      <c r="E15" s="62"/>
      <c r="F15" s="32"/>
      <c r="G15" s="62" t="s">
        <v>435</v>
      </c>
      <c r="H15" s="62"/>
      <c r="I15" s="32"/>
      <c r="J15" s="2"/>
    </row>
    <row r="16" spans="1:10" ht="15" customHeight="1">
      <c r="A16" s="30" t="s">
        <v>436</v>
      </c>
      <c r="B16" s="31" t="s">
        <v>431</v>
      </c>
      <c r="C16" s="32"/>
      <c r="D16" s="62" t="s">
        <v>437</v>
      </c>
      <c r="E16" s="62"/>
      <c r="F16" s="32"/>
      <c r="G16" s="62" t="s">
        <v>438</v>
      </c>
      <c r="H16" s="62"/>
      <c r="I16" s="32"/>
      <c r="J16" s="2"/>
    </row>
    <row r="17" spans="1:10" ht="15" customHeight="1">
      <c r="A17" s="33"/>
      <c r="B17" s="31" t="s">
        <v>31</v>
      </c>
      <c r="C17" s="32"/>
      <c r="D17" s="62"/>
      <c r="E17" s="62"/>
      <c r="F17" s="34"/>
      <c r="G17" s="62" t="s">
        <v>439</v>
      </c>
      <c r="H17" s="62"/>
      <c r="I17" s="32"/>
      <c r="J17" s="2"/>
    </row>
    <row r="18" spans="1:10" ht="15" customHeight="1">
      <c r="A18" s="30" t="s">
        <v>440</v>
      </c>
      <c r="B18" s="31" t="s">
        <v>431</v>
      </c>
      <c r="C18" s="32"/>
      <c r="D18" s="62"/>
      <c r="E18" s="62"/>
      <c r="F18" s="34"/>
      <c r="G18" s="62" t="s">
        <v>441</v>
      </c>
      <c r="H18" s="62"/>
      <c r="I18" s="32"/>
      <c r="J18" s="2"/>
    </row>
    <row r="19" spans="1:10" ht="15" customHeight="1">
      <c r="A19" s="33"/>
      <c r="B19" s="31" t="s">
        <v>31</v>
      </c>
      <c r="C19" s="32"/>
      <c r="D19" s="62"/>
      <c r="E19" s="62"/>
      <c r="F19" s="34"/>
      <c r="G19" s="62" t="s">
        <v>442</v>
      </c>
      <c r="H19" s="62"/>
      <c r="I19" s="32"/>
      <c r="J19" s="2"/>
    </row>
    <row r="20" spans="1:10" ht="15" customHeight="1">
      <c r="A20" s="63" t="s">
        <v>365</v>
      </c>
      <c r="B20" s="63"/>
      <c r="C20" s="32"/>
      <c r="D20" s="62"/>
      <c r="E20" s="62"/>
      <c r="F20" s="34"/>
      <c r="G20" s="62"/>
      <c r="H20" s="62"/>
      <c r="I20" s="34"/>
      <c r="J20" s="2"/>
    </row>
    <row r="21" spans="1:10" ht="15" customHeight="1">
      <c r="A21" s="63" t="s">
        <v>443</v>
      </c>
      <c r="B21" s="63"/>
      <c r="C21" s="32"/>
      <c r="D21" s="62"/>
      <c r="E21" s="62"/>
      <c r="F21" s="34"/>
      <c r="G21" s="62"/>
      <c r="H21" s="62"/>
      <c r="I21" s="34"/>
      <c r="J21" s="2"/>
    </row>
    <row r="22" spans="1:10" ht="16.5" customHeight="1">
      <c r="A22" s="63" t="s">
        <v>444</v>
      </c>
      <c r="B22" s="63"/>
      <c r="C22" s="32"/>
      <c r="D22" s="63" t="s">
        <v>445</v>
      </c>
      <c r="E22" s="63"/>
      <c r="F22" s="32"/>
      <c r="G22" s="63" t="s">
        <v>446</v>
      </c>
      <c r="H22" s="63"/>
      <c r="I22" s="32"/>
      <c r="J22" s="2"/>
    </row>
    <row r="23" spans="1:9" ht="12.75">
      <c r="A23" s="35"/>
      <c r="B23" s="35"/>
      <c r="C23" s="35"/>
      <c r="D23" s="27"/>
      <c r="E23" s="27"/>
      <c r="F23" s="27"/>
      <c r="G23" s="27"/>
      <c r="H23" s="27"/>
      <c r="I23" s="27"/>
    </row>
    <row r="24" spans="1:9" ht="15" customHeight="1">
      <c r="A24" s="64" t="s">
        <v>447</v>
      </c>
      <c r="B24" s="64"/>
      <c r="C24" s="36"/>
      <c r="D24" s="37"/>
      <c r="E24" s="26"/>
      <c r="F24" s="26"/>
      <c r="G24" s="26"/>
      <c r="H24" s="26"/>
      <c r="I24" s="26"/>
    </row>
    <row r="25" spans="1:10" ht="15" customHeight="1">
      <c r="A25" s="64" t="s">
        <v>448</v>
      </c>
      <c r="B25" s="64"/>
      <c r="C25" s="36"/>
      <c r="D25" s="64" t="s">
        <v>449</v>
      </c>
      <c r="E25" s="64"/>
      <c r="F25" s="36"/>
      <c r="G25" s="64" t="s">
        <v>450</v>
      </c>
      <c r="H25" s="64"/>
      <c r="I25" s="36"/>
      <c r="J25" s="2"/>
    </row>
    <row r="26" spans="1:10" ht="15" customHeight="1">
      <c r="A26" s="64" t="s">
        <v>451</v>
      </c>
      <c r="B26" s="64"/>
      <c r="C26" s="36"/>
      <c r="D26" s="64" t="s">
        <v>452</v>
      </c>
      <c r="E26" s="64"/>
      <c r="F26" s="36"/>
      <c r="G26" s="64" t="s">
        <v>453</v>
      </c>
      <c r="H26" s="64"/>
      <c r="I26" s="36"/>
      <c r="J26" s="2"/>
    </row>
    <row r="27" spans="1:9" ht="12.75">
      <c r="A27" s="38"/>
      <c r="B27" s="38"/>
      <c r="C27" s="38"/>
      <c r="D27" s="38"/>
      <c r="E27" s="38"/>
      <c r="F27" s="38"/>
      <c r="G27" s="38"/>
      <c r="H27" s="38"/>
      <c r="I27" s="38"/>
    </row>
    <row r="28" spans="1:10" ht="14.25" customHeight="1">
      <c r="A28" s="65" t="s">
        <v>454</v>
      </c>
      <c r="B28" s="65"/>
      <c r="C28" s="65"/>
      <c r="D28" s="65" t="s">
        <v>455</v>
      </c>
      <c r="E28" s="65"/>
      <c r="F28" s="65"/>
      <c r="G28" s="65" t="s">
        <v>456</v>
      </c>
      <c r="H28" s="65"/>
      <c r="I28" s="65"/>
      <c r="J28" s="7"/>
    </row>
    <row r="29" spans="1:10" ht="14.25" customHeight="1">
      <c r="A29" s="66"/>
      <c r="B29" s="66"/>
      <c r="C29" s="66"/>
      <c r="D29" s="66"/>
      <c r="E29" s="66"/>
      <c r="F29" s="66"/>
      <c r="G29" s="66"/>
      <c r="H29" s="66"/>
      <c r="I29" s="66"/>
      <c r="J29" s="7"/>
    </row>
    <row r="30" spans="1:10" ht="14.25" customHeight="1">
      <c r="A30" s="66"/>
      <c r="B30" s="66"/>
      <c r="C30" s="66"/>
      <c r="D30" s="66"/>
      <c r="E30" s="66"/>
      <c r="F30" s="66"/>
      <c r="G30" s="66"/>
      <c r="H30" s="66"/>
      <c r="I30" s="66"/>
      <c r="J30" s="7"/>
    </row>
    <row r="31" spans="1:10" ht="14.25" customHeight="1">
      <c r="A31" s="66"/>
      <c r="B31" s="66"/>
      <c r="C31" s="66"/>
      <c r="D31" s="66"/>
      <c r="E31" s="66"/>
      <c r="F31" s="66"/>
      <c r="G31" s="66"/>
      <c r="H31" s="66"/>
      <c r="I31" s="66"/>
      <c r="J31" s="7"/>
    </row>
    <row r="32" spans="1:10" ht="14.25" customHeight="1">
      <c r="A32" s="67" t="s">
        <v>457</v>
      </c>
      <c r="B32" s="67"/>
      <c r="C32" s="67"/>
      <c r="D32" s="67" t="s">
        <v>457</v>
      </c>
      <c r="E32" s="67"/>
      <c r="F32" s="67"/>
      <c r="G32" s="67" t="s">
        <v>457</v>
      </c>
      <c r="H32" s="67"/>
      <c r="I32" s="67"/>
      <c r="J32" s="7"/>
    </row>
    <row r="33" spans="1:9" ht="12.75">
      <c r="A33" s="39"/>
      <c r="B33" s="39"/>
      <c r="C33" s="39"/>
      <c r="D33" s="39"/>
      <c r="E33" s="39"/>
      <c r="F33" s="39"/>
      <c r="G33" s="39"/>
      <c r="H33" s="39"/>
      <c r="I33" s="39"/>
    </row>
  </sheetData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5:B25"/>
    <mergeCell ref="D25:E25"/>
    <mergeCell ref="G25:H25"/>
    <mergeCell ref="A26:B26"/>
    <mergeCell ref="D26:E26"/>
    <mergeCell ref="G26:H26"/>
    <mergeCell ref="A22:B22"/>
    <mergeCell ref="D22:E22"/>
    <mergeCell ref="G22:H22"/>
    <mergeCell ref="A24:B24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A1:I1"/>
    <mergeCell ref="A2:B3"/>
    <mergeCell ref="C2:D3"/>
    <mergeCell ref="E2:E3"/>
    <mergeCell ref="F2:G3"/>
    <mergeCell ref="H2:H3"/>
    <mergeCell ref="I2: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Město Planá</cp:lastModifiedBy>
  <dcterms:created xsi:type="dcterms:W3CDTF">2011-01-31T07:22:50Z</dcterms:created>
  <dcterms:modified xsi:type="dcterms:W3CDTF">2011-01-31T07:22:50Z</dcterms:modified>
  <cp:category/>
  <cp:version/>
  <cp:contentType/>
  <cp:contentStatus/>
</cp:coreProperties>
</file>